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40" yWindow="-15" windowWidth="8685" windowHeight="9705" activeTab="3"/>
  </bookViews>
  <sheets>
    <sheet name="VYHODNOCENí I." sheetId="1" r:id="rId1"/>
    <sheet name="VYHODNOCENí II." sheetId="2" r:id="rId2"/>
    <sheet name="VYHODNOCENí III." sheetId="3" r:id="rId3"/>
    <sheet name="VYHODNOCENí 1415" sheetId="4" r:id="rId4"/>
  </sheets>
  <definedNames>
    <definedName name="_xlnm.Print_Area" localSheetId="3">'VYHODNOCENí 1415'!$A$1:$P$47</definedName>
    <definedName name="_xlnm.Print_Area" localSheetId="0">'VYHODNOCENí I.'!$A$1:$P$46</definedName>
    <definedName name="_xlnm.Print_Area" localSheetId="1">'VYHODNOCENí II.'!$A$1:$P$46</definedName>
    <definedName name="_xlnm.Print_Area" localSheetId="2">'VYHODNOCENí III.'!$A$1:$P$46</definedName>
  </definedNames>
  <calcPr calcId="125725"/>
</workbook>
</file>

<file path=xl/calcChain.xml><?xml version="1.0" encoding="utf-8"?>
<calcChain xmlns="http://schemas.openxmlformats.org/spreadsheetml/2006/main">
  <c r="K7" i="4"/>
  <c r="D11"/>
  <c r="D10"/>
  <c r="D9"/>
  <c r="D8"/>
  <c r="D7"/>
  <c r="C29"/>
  <c r="C28"/>
  <c r="C27"/>
  <c r="C26"/>
  <c r="D46"/>
  <c r="D44"/>
  <c r="D43"/>
  <c r="K37"/>
  <c r="I37"/>
  <c r="L37"/>
  <c r="F7"/>
  <c r="C7"/>
  <c r="C11"/>
  <c r="C10"/>
  <c r="C9"/>
  <c r="C8"/>
  <c r="E7"/>
  <c r="D37"/>
  <c r="C37"/>
  <c r="L37" i="3"/>
  <c r="D47" i="4"/>
  <c r="J45"/>
  <c r="J48" s="1"/>
  <c r="G54" s="1"/>
  <c r="D45"/>
  <c r="J28" i="3"/>
  <c r="I28"/>
  <c r="K27"/>
  <c r="J27"/>
  <c r="I27"/>
  <c r="K26"/>
  <c r="J26"/>
  <c r="I26"/>
  <c r="F28"/>
  <c r="E28"/>
  <c r="D28"/>
  <c r="D28" i="4" s="1"/>
  <c r="F27" i="3"/>
  <c r="E27"/>
  <c r="D27"/>
  <c r="F26"/>
  <c r="E26"/>
  <c r="D26"/>
  <c r="C28"/>
  <c r="C29"/>
  <c r="C27"/>
  <c r="C26"/>
  <c r="J29" i="2"/>
  <c r="F28"/>
  <c r="E28"/>
  <c r="E28" i="4" s="1"/>
  <c r="D28" i="2"/>
  <c r="J28"/>
  <c r="K28"/>
  <c r="K27"/>
  <c r="K27" i="4" s="1"/>
  <c r="J27" i="2"/>
  <c r="I27"/>
  <c r="K26"/>
  <c r="J26"/>
  <c r="I26"/>
  <c r="F29"/>
  <c r="E29"/>
  <c r="D29"/>
  <c r="D31" s="1"/>
  <c r="C29"/>
  <c r="F27"/>
  <c r="F27" i="4" s="1"/>
  <c r="D27" i="2"/>
  <c r="C28"/>
  <c r="E27"/>
  <c r="C27"/>
  <c r="E26"/>
  <c r="F26"/>
  <c r="F26" i="4" s="1"/>
  <c r="D26" i="2"/>
  <c r="C26"/>
  <c r="L37" i="1"/>
  <c r="K37"/>
  <c r="I37"/>
  <c r="F37"/>
  <c r="D37"/>
  <c r="C37"/>
  <c r="K27"/>
  <c r="J27"/>
  <c r="I27"/>
  <c r="F27"/>
  <c r="E27"/>
  <c r="D27"/>
  <c r="C27"/>
  <c r="K26"/>
  <c r="J26"/>
  <c r="J26" i="4" s="1"/>
  <c r="I26" i="1"/>
  <c r="F26"/>
  <c r="E26"/>
  <c r="D26"/>
  <c r="C26"/>
  <c r="K28"/>
  <c r="J28"/>
  <c r="I28"/>
  <c r="F28"/>
  <c r="E28"/>
  <c r="D28"/>
  <c r="C28"/>
  <c r="K29"/>
  <c r="J29"/>
  <c r="I29"/>
  <c r="F29"/>
  <c r="E29"/>
  <c r="D29"/>
  <c r="C29"/>
  <c r="O2" i="4"/>
  <c r="O37" i="3"/>
  <c r="G30"/>
  <c r="G29"/>
  <c r="G28"/>
  <c r="G27"/>
  <c r="G26"/>
  <c r="O37" i="2"/>
  <c r="L18" i="4"/>
  <c r="O18" i="3"/>
  <c r="I18" i="4"/>
  <c r="D18"/>
  <c r="J28"/>
  <c r="F31" i="3"/>
  <c r="N37" i="2"/>
  <c r="L30"/>
  <c r="O21" i="1"/>
  <c r="O2" i="3"/>
  <c r="O2" i="2"/>
  <c r="O21" i="3" s="1"/>
  <c r="D27" i="4"/>
  <c r="F37"/>
  <c r="K30"/>
  <c r="J30"/>
  <c r="I30"/>
  <c r="K29"/>
  <c r="J29"/>
  <c r="I29"/>
  <c r="K28"/>
  <c r="I28"/>
  <c r="J27"/>
  <c r="I27"/>
  <c r="K26"/>
  <c r="F30"/>
  <c r="E30"/>
  <c r="D30"/>
  <c r="C30"/>
  <c r="F29"/>
  <c r="E29"/>
  <c r="D29"/>
  <c r="E27"/>
  <c r="E26"/>
  <c r="D26"/>
  <c r="D31" i="3"/>
  <c r="N37" i="1"/>
  <c r="E31"/>
  <c r="C31"/>
  <c r="O30"/>
  <c r="M30"/>
  <c r="L30"/>
  <c r="H30"/>
  <c r="G30"/>
  <c r="L29"/>
  <c r="M29" s="1"/>
  <c r="G29"/>
  <c r="H29" s="1"/>
  <c r="L28"/>
  <c r="M28" s="1"/>
  <c r="L27"/>
  <c r="M27" s="1"/>
  <c r="G27"/>
  <c r="H27" s="1"/>
  <c r="G26"/>
  <c r="H26" s="1"/>
  <c r="N18" i="3"/>
  <c r="C12"/>
  <c r="K18" i="4"/>
  <c r="F18"/>
  <c r="C18"/>
  <c r="K11"/>
  <c r="K10"/>
  <c r="K9"/>
  <c r="K8"/>
  <c r="J11"/>
  <c r="J10"/>
  <c r="J9"/>
  <c r="J8"/>
  <c r="J7"/>
  <c r="I11"/>
  <c r="I10"/>
  <c r="I9"/>
  <c r="I8"/>
  <c r="I7"/>
  <c r="F11"/>
  <c r="E11"/>
  <c r="F10"/>
  <c r="E10"/>
  <c r="F9"/>
  <c r="E9"/>
  <c r="F8"/>
  <c r="E8"/>
  <c r="I21"/>
  <c r="G7" i="3"/>
  <c r="H7" s="1"/>
  <c r="L7"/>
  <c r="M7" s="1"/>
  <c r="G8"/>
  <c r="H8" s="1"/>
  <c r="L8"/>
  <c r="M8" s="1"/>
  <c r="G9"/>
  <c r="H9" s="1"/>
  <c r="L9"/>
  <c r="M9" s="1"/>
  <c r="G10"/>
  <c r="H10" s="1"/>
  <c r="L10"/>
  <c r="M10" s="1"/>
  <c r="G11"/>
  <c r="H11" s="1"/>
  <c r="L11"/>
  <c r="M11" s="1"/>
  <c r="D12"/>
  <c r="E12"/>
  <c r="F12"/>
  <c r="I12"/>
  <c r="J12"/>
  <c r="K12"/>
  <c r="G18"/>
  <c r="I21"/>
  <c r="H26"/>
  <c r="L26"/>
  <c r="M26" s="1"/>
  <c r="H27"/>
  <c r="L27"/>
  <c r="M27" s="1"/>
  <c r="L28"/>
  <c r="M28" s="1"/>
  <c r="H29"/>
  <c r="L29"/>
  <c r="M29" s="1"/>
  <c r="H30"/>
  <c r="L30"/>
  <c r="M30" s="1"/>
  <c r="I31"/>
  <c r="K31"/>
  <c r="G37"/>
  <c r="N37"/>
  <c r="G45"/>
  <c r="I21" i="2"/>
  <c r="G7"/>
  <c r="H7" s="1"/>
  <c r="L7"/>
  <c r="M7" s="1"/>
  <c r="G8"/>
  <c r="H8" s="1"/>
  <c r="L8"/>
  <c r="M8" s="1"/>
  <c r="G9"/>
  <c r="H9" s="1"/>
  <c r="L9"/>
  <c r="M9" s="1"/>
  <c r="G10"/>
  <c r="H10" s="1"/>
  <c r="L10"/>
  <c r="M10" s="1"/>
  <c r="G11"/>
  <c r="H11" s="1"/>
  <c r="L11"/>
  <c r="M11" s="1"/>
  <c r="C12"/>
  <c r="D12"/>
  <c r="E12"/>
  <c r="F12"/>
  <c r="I12"/>
  <c r="J12"/>
  <c r="K12"/>
  <c r="G18"/>
  <c r="N18"/>
  <c r="O18"/>
  <c r="G26"/>
  <c r="H26" s="1"/>
  <c r="L26"/>
  <c r="M26" s="1"/>
  <c r="G27"/>
  <c r="H27" s="1"/>
  <c r="G28"/>
  <c r="H28" s="1"/>
  <c r="L28"/>
  <c r="M28" s="1"/>
  <c r="G29"/>
  <c r="H29" s="1"/>
  <c r="L29"/>
  <c r="M29" s="1"/>
  <c r="N29"/>
  <c r="O29" s="1"/>
  <c r="G30"/>
  <c r="H30"/>
  <c r="M30"/>
  <c r="O30"/>
  <c r="C31"/>
  <c r="E31"/>
  <c r="F31"/>
  <c r="J31"/>
  <c r="G37"/>
  <c r="G45"/>
  <c r="G45" i="1"/>
  <c r="C12"/>
  <c r="G7"/>
  <c r="H7" s="1"/>
  <c r="L7"/>
  <c r="M7" s="1"/>
  <c r="G8"/>
  <c r="H8" s="1"/>
  <c r="L8"/>
  <c r="M8" s="1"/>
  <c r="G9"/>
  <c r="H9" s="1"/>
  <c r="L9"/>
  <c r="M9" s="1"/>
  <c r="G10"/>
  <c r="H10" s="1"/>
  <c r="L10"/>
  <c r="M10" s="1"/>
  <c r="G11"/>
  <c r="H11" s="1"/>
  <c r="L11"/>
  <c r="M11" s="1"/>
  <c r="D12"/>
  <c r="E12"/>
  <c r="F12"/>
  <c r="I12"/>
  <c r="J12"/>
  <c r="K12"/>
  <c r="G18"/>
  <c r="N18"/>
  <c r="O18"/>
  <c r="F12" i="4" l="1"/>
  <c r="D12"/>
  <c r="C12"/>
  <c r="I31" i="2"/>
  <c r="L27"/>
  <c r="M27" s="1"/>
  <c r="I31" i="1"/>
  <c r="I26" i="4"/>
  <c r="I31" s="1"/>
  <c r="L26" i="1"/>
  <c r="M26" s="1"/>
  <c r="J31"/>
  <c r="N30" i="2"/>
  <c r="G37" i="4"/>
  <c r="D49"/>
  <c r="G18"/>
  <c r="K31" i="1"/>
  <c r="F28" i="4"/>
  <c r="G28" s="1"/>
  <c r="H28" s="1"/>
  <c r="J31" i="3"/>
  <c r="C31"/>
  <c r="K31" i="2"/>
  <c r="G30" i="4"/>
  <c r="G31" i="2"/>
  <c r="H31" s="1"/>
  <c r="F31" i="1"/>
  <c r="G28"/>
  <c r="H28" s="1"/>
  <c r="J31" i="4"/>
  <c r="L26"/>
  <c r="M26" s="1"/>
  <c r="L30"/>
  <c r="M30"/>
  <c r="O37"/>
  <c r="O21" i="2"/>
  <c r="O21" i="4"/>
  <c r="L29"/>
  <c r="M29" s="1"/>
  <c r="L27"/>
  <c r="M27" s="1"/>
  <c r="H30"/>
  <c r="G26"/>
  <c r="H26" s="1"/>
  <c r="E31"/>
  <c r="N37"/>
  <c r="L28"/>
  <c r="M28" s="1"/>
  <c r="K31"/>
  <c r="G27"/>
  <c r="H27" s="1"/>
  <c r="D31"/>
  <c r="D31" i="1"/>
  <c r="C31" i="4"/>
  <c r="N30" i="1"/>
  <c r="N26"/>
  <c r="O26" s="1"/>
  <c r="N27"/>
  <c r="O27" s="1"/>
  <c r="N29"/>
  <c r="O29" s="1"/>
  <c r="N30" i="3"/>
  <c r="O30" s="1"/>
  <c r="N27"/>
  <c r="O27" s="1"/>
  <c r="N26"/>
  <c r="O26" s="1"/>
  <c r="N29"/>
  <c r="O29" s="1"/>
  <c r="H28"/>
  <c r="N28"/>
  <c r="O28" s="1"/>
  <c r="G31"/>
  <c r="H31" s="1"/>
  <c r="E31"/>
  <c r="G44"/>
  <c r="L31" i="1"/>
  <c r="M31" s="1"/>
  <c r="O37"/>
  <c r="G37"/>
  <c r="N26" i="2"/>
  <c r="O26" s="1"/>
  <c r="L31"/>
  <c r="M31" s="1"/>
  <c r="N28"/>
  <c r="O28" s="1"/>
  <c r="N27"/>
  <c r="N18" i="4"/>
  <c r="N7" i="2"/>
  <c r="O7" s="1"/>
  <c r="G12"/>
  <c r="L8" i="4"/>
  <c r="M8" s="1"/>
  <c r="N10" i="3"/>
  <c r="O10" s="1"/>
  <c r="L12"/>
  <c r="M12" s="1"/>
  <c r="N8"/>
  <c r="O8" s="1"/>
  <c r="L7" i="4"/>
  <c r="M7" s="1"/>
  <c r="L12" i="2"/>
  <c r="N10"/>
  <c r="O10" s="1"/>
  <c r="K12" i="4"/>
  <c r="L11"/>
  <c r="M11" s="1"/>
  <c r="L9"/>
  <c r="M9" s="1"/>
  <c r="N11" i="2"/>
  <c r="O11" s="1"/>
  <c r="N9"/>
  <c r="O9" s="1"/>
  <c r="N8"/>
  <c r="O8" s="1"/>
  <c r="H12"/>
  <c r="G44"/>
  <c r="M12"/>
  <c r="L10" i="4"/>
  <c r="M10" s="1"/>
  <c r="L12" i="1"/>
  <c r="M12" s="1"/>
  <c r="I12" i="4"/>
  <c r="N11" i="3"/>
  <c r="O11" s="1"/>
  <c r="N9"/>
  <c r="O9" s="1"/>
  <c r="N7"/>
  <c r="G8" i="4"/>
  <c r="H8" s="1"/>
  <c r="G10"/>
  <c r="H10" s="1"/>
  <c r="J12"/>
  <c r="G29"/>
  <c r="H29" s="1"/>
  <c r="G7"/>
  <c r="G9"/>
  <c r="H9" s="1"/>
  <c r="G11"/>
  <c r="H11" s="1"/>
  <c r="N9" i="1"/>
  <c r="O9" s="1"/>
  <c r="N11"/>
  <c r="O11" s="1"/>
  <c r="N7"/>
  <c r="O7" s="1"/>
  <c r="E12" i="4"/>
  <c r="N10" i="1"/>
  <c r="O10" s="1"/>
  <c r="N8"/>
  <c r="G44"/>
  <c r="G12"/>
  <c r="H12" s="1"/>
  <c r="L31" i="3"/>
  <c r="G12"/>
  <c r="H12" s="1"/>
  <c r="O18" i="4"/>
  <c r="N30" l="1"/>
  <c r="O30" s="1"/>
  <c r="M31" i="3"/>
  <c r="G53" i="4"/>
  <c r="N7"/>
  <c r="O7" s="1"/>
  <c r="F31"/>
  <c r="N26"/>
  <c r="O26" s="1"/>
  <c r="G31" i="1"/>
  <c r="H31" s="1"/>
  <c r="N31" i="3"/>
  <c r="O31" s="1"/>
  <c r="N28" i="1"/>
  <c r="O28" s="1"/>
  <c r="N27" i="4"/>
  <c r="O27" s="1"/>
  <c r="N28"/>
  <c r="O28" s="1"/>
  <c r="N8"/>
  <c r="O8" s="1"/>
  <c r="L31"/>
  <c r="M31" s="1"/>
  <c r="N29"/>
  <c r="O29" s="1"/>
  <c r="N31" i="1"/>
  <c r="O31" s="1"/>
  <c r="O27" i="2"/>
  <c r="N31"/>
  <c r="O31" s="1"/>
  <c r="G31" i="4"/>
  <c r="H31" s="1"/>
  <c r="L12"/>
  <c r="M12" s="1"/>
  <c r="N12" i="2"/>
  <c r="O12" s="1"/>
  <c r="N11" i="4"/>
  <c r="O11" s="1"/>
  <c r="H7"/>
  <c r="O7" i="3"/>
  <c r="N12"/>
  <c r="O12" s="1"/>
  <c r="N9" i="4"/>
  <c r="O9" s="1"/>
  <c r="N10"/>
  <c r="G12"/>
  <c r="H12" s="1"/>
  <c r="O8" i="1"/>
  <c r="N12"/>
  <c r="O12" s="1"/>
  <c r="N31" i="4" l="1"/>
  <c r="O31" s="1"/>
  <c r="O10"/>
  <c r="N12"/>
  <c r="O12" s="1"/>
</calcChain>
</file>

<file path=xl/sharedStrings.xml><?xml version="1.0" encoding="utf-8"?>
<sst xmlns="http://schemas.openxmlformats.org/spreadsheetml/2006/main" count="434" uniqueCount="62">
  <si>
    <t>Cyklus :</t>
  </si>
  <si>
    <t>Škol. rok :</t>
  </si>
  <si>
    <t>Před výukou</t>
  </si>
  <si>
    <t>Po výuce</t>
  </si>
  <si>
    <t>Třída</t>
  </si>
  <si>
    <t>Počet</t>
  </si>
  <si>
    <t>V</t>
  </si>
  <si>
    <t>Nově</t>
  </si>
  <si>
    <t>žáků</t>
  </si>
  <si>
    <t>10 m</t>
  </si>
  <si>
    <t>25 m</t>
  </si>
  <si>
    <t>200 m</t>
  </si>
  <si>
    <t>plavců</t>
  </si>
  <si>
    <t>%</t>
  </si>
  <si>
    <t>naučených</t>
  </si>
  <si>
    <t>1.</t>
  </si>
  <si>
    <t>2.</t>
  </si>
  <si>
    <t>3.</t>
  </si>
  <si>
    <t>4.</t>
  </si>
  <si>
    <t>5.</t>
  </si>
  <si>
    <t>Celkem</t>
  </si>
  <si>
    <t>Splývající</t>
  </si>
  <si>
    <t>Plavající</t>
  </si>
  <si>
    <t>dětí</t>
  </si>
  <si>
    <t>nesplývá</t>
  </si>
  <si>
    <t>splývá</t>
  </si>
  <si>
    <t>v %</t>
  </si>
  <si>
    <t>plave 10m</t>
  </si>
  <si>
    <t>MŠ</t>
  </si>
  <si>
    <t>I.</t>
  </si>
  <si>
    <t>Základní a mateřské školy</t>
  </si>
  <si>
    <t>Sportovní třídy a mateřské školy</t>
  </si>
  <si>
    <t>Celkem dětí MŠ v I. cyklu:</t>
  </si>
  <si>
    <t>Celkem žáků ZŠ v I. cyklu:</t>
  </si>
  <si>
    <t>Souhrn</t>
  </si>
  <si>
    <t>II.</t>
  </si>
  <si>
    <t>III.</t>
  </si>
  <si>
    <t>Celkem žáků ZŠ v III. cyklu:</t>
  </si>
  <si>
    <t>Celkem dětí MŠ v III. cyklu:</t>
  </si>
  <si>
    <t>Celkem žáků ZŠ v II. cyklu:</t>
  </si>
  <si>
    <t>Celkem dětí MŠ v II. cyklu:</t>
  </si>
  <si>
    <t>I. - III.</t>
  </si>
  <si>
    <t>ZŠ</t>
  </si>
  <si>
    <t>Hlavní činnost</t>
  </si>
  <si>
    <t>Aquajuniorclub</t>
  </si>
  <si>
    <t>Orkaclub</t>
  </si>
  <si>
    <t>Karetaclub</t>
  </si>
  <si>
    <t>Delficlub</t>
  </si>
  <si>
    <t>sportovní club</t>
  </si>
  <si>
    <t>Doplňková činnost</t>
  </si>
  <si>
    <t>club</t>
  </si>
  <si>
    <t>Aquababyfit (Hv.)</t>
  </si>
  <si>
    <t>Aquarobic</t>
  </si>
  <si>
    <t>Celkem Hlavní činnost</t>
  </si>
  <si>
    <t>Celkem Doplňková činnost</t>
  </si>
  <si>
    <t>kurzistů</t>
  </si>
  <si>
    <t>Aquababyfit (Ros.)</t>
  </si>
  <si>
    <t>Willyclub</t>
  </si>
  <si>
    <t>Aquagravidibic</t>
  </si>
  <si>
    <t>Individuální výuk.</t>
  </si>
  <si>
    <t>2014-15</t>
  </si>
  <si>
    <t>LPPT</t>
  </si>
</sst>
</file>

<file path=xl/styles.xml><?xml version="1.0" encoding="utf-8"?>
<styleSheet xmlns="http://schemas.openxmlformats.org/spreadsheetml/2006/main">
  <fonts count="15">
    <font>
      <sz val="12"/>
      <name val="Arial"/>
      <charset val="238"/>
    </font>
    <font>
      <sz val="12"/>
      <name val="Arial CE"/>
      <charset val="238"/>
    </font>
    <font>
      <b/>
      <sz val="17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12">
    <xf numFmtId="0" fontId="4" fillId="0" borderId="0" xfId="0" applyNumberFormat="1" applyFont="1" applyAlignment="1" applyProtection="1">
      <protection locked="0"/>
    </xf>
    <xf numFmtId="0" fontId="0" fillId="0" borderId="0" xfId="0" applyNumberFormat="1" applyBorder="1"/>
    <xf numFmtId="0" fontId="2" fillId="0" borderId="0" xfId="0" applyFont="1" applyBorder="1" applyAlignment="1"/>
    <xf numFmtId="0" fontId="6" fillId="0" borderId="0" xfId="0" applyNumberFormat="1" applyFont="1" applyBorder="1" applyAlignment="1"/>
    <xf numFmtId="0" fontId="4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7" fillId="0" borderId="2" xfId="0" applyNumberFormat="1" applyFont="1" applyBorder="1" applyAlignment="1">
      <alignment horizontal="centerContinuous"/>
    </xf>
    <xf numFmtId="0" fontId="3" fillId="0" borderId="3" xfId="0" applyNumberFormat="1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3" xfId="0" applyNumberFormat="1" applyBorder="1"/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/>
    <xf numFmtId="0" fontId="3" fillId="0" borderId="4" xfId="0" applyFont="1" applyBorder="1" applyAlignment="1"/>
    <xf numFmtId="2" fontId="3" fillId="0" borderId="4" xfId="0" applyNumberFormat="1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2" fontId="3" fillId="0" borderId="6" xfId="0" applyNumberFormat="1" applyFont="1" applyBorder="1" applyAlignment="1"/>
    <xf numFmtId="0" fontId="0" fillId="0" borderId="2" xfId="0" applyNumberFormat="1" applyBorder="1"/>
    <xf numFmtId="0" fontId="5" fillId="0" borderId="2" xfId="0" applyNumberFormat="1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10" fillId="0" borderId="4" xfId="0" applyFont="1" applyBorder="1" applyAlignment="1">
      <alignment horizontal="right"/>
    </xf>
    <xf numFmtId="2" fontId="3" fillId="0" borderId="1" xfId="0" applyNumberFormat="1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5" xfId="0" applyNumberFormat="1" applyFont="1" applyBorder="1" applyAlignment="1" applyProtection="1">
      <protection locked="0"/>
    </xf>
    <xf numFmtId="0" fontId="14" fillId="0" borderId="16" xfId="0" applyNumberFormat="1" applyFont="1" applyBorder="1" applyAlignment="1" applyProtection="1">
      <protection locked="0"/>
    </xf>
    <xf numFmtId="0" fontId="13" fillId="0" borderId="17" xfId="0" applyNumberFormat="1" applyFont="1" applyBorder="1" applyAlignment="1" applyProtection="1">
      <protection locked="0"/>
    </xf>
    <xf numFmtId="0" fontId="13" fillId="0" borderId="18" xfId="0" applyNumberFormat="1" applyFont="1" applyBorder="1" applyAlignment="1" applyProtection="1">
      <protection locked="0"/>
    </xf>
    <xf numFmtId="0" fontId="14" fillId="0" borderId="19" xfId="0" applyNumberFormat="1" applyFont="1" applyBorder="1" applyAlignment="1" applyProtection="1">
      <protection locked="0"/>
    </xf>
    <xf numFmtId="0" fontId="13" fillId="0" borderId="20" xfId="0" applyNumberFormat="1" applyFont="1" applyBorder="1" applyAlignment="1" applyProtection="1">
      <protection locked="0"/>
    </xf>
    <xf numFmtId="0" fontId="4" fillId="0" borderId="21" xfId="0" applyNumberFormat="1" applyFont="1" applyBorder="1" applyAlignment="1" applyProtection="1">
      <protection locked="0"/>
    </xf>
    <xf numFmtId="0" fontId="4" fillId="0" borderId="22" xfId="0" applyNumberFormat="1" applyFont="1" applyBorder="1" applyAlignment="1" applyProtection="1">
      <protection locked="0"/>
    </xf>
    <xf numFmtId="0" fontId="13" fillId="0" borderId="0" xfId="0" applyNumberFormat="1" applyFont="1" applyAlignment="1" applyProtection="1">
      <protection locked="0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2" xfId="0" applyNumberFormat="1" applyFont="1" applyBorder="1" applyAlignment="1">
      <alignment horizontal="centerContinuous"/>
    </xf>
    <xf numFmtId="0" fontId="1" fillId="0" borderId="3" xfId="0" applyNumberFormat="1" applyFont="1" applyBorder="1" applyAlignment="1"/>
    <xf numFmtId="0" fontId="1" fillId="0" borderId="1" xfId="0" applyFont="1" applyBorder="1" applyAlignment="1"/>
    <xf numFmtId="0" fontId="1" fillId="0" borderId="4" xfId="0" applyFont="1" applyBorder="1" applyAlignment="1"/>
    <xf numFmtId="2" fontId="1" fillId="0" borderId="4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2" fontId="1" fillId="0" borderId="6" xfId="0" applyNumberFormat="1" applyFont="1" applyBorder="1" applyAlignment="1"/>
    <xf numFmtId="0" fontId="1" fillId="0" borderId="4" xfId="0" applyFont="1" applyBorder="1" applyAlignment="1">
      <alignment horizontal="right"/>
    </xf>
    <xf numFmtId="2" fontId="1" fillId="0" borderId="1" xfId="0" applyNumberFormat="1" applyFont="1" applyBorder="1" applyAlignment="1"/>
    <xf numFmtId="2" fontId="1" fillId="0" borderId="9" xfId="0" applyNumberFormat="1" applyFont="1" applyBorder="1" applyAlignment="1"/>
    <xf numFmtId="2" fontId="1" fillId="0" borderId="10" xfId="0" applyNumberFormat="1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2" fontId="1" fillId="0" borderId="12" xfId="0" applyNumberFormat="1" applyFont="1" applyBorder="1" applyAlignment="1"/>
    <xf numFmtId="2" fontId="1" fillId="0" borderId="13" xfId="0" applyNumberFormat="1" applyFont="1" applyBorder="1" applyAlignment="1"/>
    <xf numFmtId="0" fontId="1" fillId="0" borderId="12" xfId="0" applyFont="1" applyBorder="1" applyAlignment="1">
      <alignment horizontal="right"/>
    </xf>
    <xf numFmtId="2" fontId="1" fillId="0" borderId="14" xfId="0" applyNumberFormat="1" applyFont="1" applyBorder="1" applyAlignment="1"/>
    <xf numFmtId="0" fontId="13" fillId="0" borderId="0" xfId="0" applyNumberFormat="1" applyFont="1" applyBorder="1" applyAlignme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4" fillId="0" borderId="24" xfId="0" applyNumberFormat="1" applyFont="1" applyBorder="1" applyAlignment="1" applyProtection="1">
      <protection locked="0"/>
    </xf>
    <xf numFmtId="0" fontId="14" fillId="0" borderId="24" xfId="0" applyNumberFormat="1" applyFont="1" applyBorder="1" applyAlignment="1" applyProtection="1">
      <protection locked="0"/>
    </xf>
    <xf numFmtId="0" fontId="12" fillId="0" borderId="25" xfId="0" applyNumberFormat="1" applyFont="1" applyBorder="1" applyAlignment="1" applyProtection="1">
      <protection locked="0"/>
    </xf>
    <xf numFmtId="0" fontId="4" fillId="0" borderId="26" xfId="0" applyNumberFormat="1" applyFont="1" applyBorder="1" applyAlignment="1" applyProtection="1">
      <protection locked="0"/>
    </xf>
    <xf numFmtId="0" fontId="12" fillId="0" borderId="27" xfId="0" applyNumberFormat="1" applyFont="1" applyBorder="1" applyAlignment="1" applyProtection="1">
      <protection locked="0"/>
    </xf>
    <xf numFmtId="0" fontId="4" fillId="0" borderId="28" xfId="0" applyNumberFormat="1" applyFont="1" applyBorder="1" applyAlignment="1" applyProtection="1">
      <protection locked="0"/>
    </xf>
    <xf numFmtId="0" fontId="4" fillId="0" borderId="29" xfId="0" applyNumberFormat="1" applyFont="1" applyBorder="1" applyAlignment="1" applyProtection="1">
      <protection locked="0"/>
    </xf>
    <xf numFmtId="0" fontId="12" fillId="0" borderId="32" xfId="0" applyNumberFormat="1" applyFont="1" applyBorder="1" applyAlignment="1" applyProtection="1">
      <alignment horizontal="center"/>
      <protection locked="0"/>
    </xf>
    <xf numFmtId="0" fontId="12" fillId="0" borderId="33" xfId="0" applyNumberFormat="1" applyFont="1" applyFill="1" applyBorder="1" applyAlignment="1" applyProtection="1">
      <protection locked="0"/>
    </xf>
    <xf numFmtId="0" fontId="4" fillId="0" borderId="34" xfId="0" applyNumberFormat="1" applyFont="1" applyBorder="1" applyAlignment="1" applyProtection="1">
      <protection locked="0"/>
    </xf>
    <xf numFmtId="0" fontId="4" fillId="0" borderId="35" xfId="0" applyNumberFormat="1" applyFont="1" applyBorder="1" applyAlignment="1" applyProtection="1">
      <protection locked="0"/>
    </xf>
    <xf numFmtId="0" fontId="12" fillId="0" borderId="36" xfId="0" applyNumberFormat="1" applyFont="1" applyFill="1" applyBorder="1" applyAlignment="1" applyProtection="1">
      <protection locked="0"/>
    </xf>
    <xf numFmtId="0" fontId="4" fillId="0" borderId="37" xfId="0" applyNumberFormat="1" applyFont="1" applyBorder="1" applyAlignment="1" applyProtection="1">
      <protection locked="0"/>
    </xf>
    <xf numFmtId="0" fontId="2" fillId="0" borderId="15" xfId="0" applyFont="1" applyBorder="1" applyAlignment="1"/>
    <xf numFmtId="0" fontId="2" fillId="0" borderId="16" xfId="0" applyFont="1" applyBorder="1" applyAlignment="1"/>
    <xf numFmtId="0" fontId="4" fillId="0" borderId="16" xfId="0" applyNumberFormat="1" applyFont="1" applyBorder="1" applyAlignment="1" applyProtection="1">
      <protection locked="0"/>
    </xf>
    <xf numFmtId="0" fontId="2" fillId="0" borderId="39" xfId="0" applyFont="1" applyBorder="1" applyAlignment="1"/>
    <xf numFmtId="0" fontId="4" fillId="0" borderId="40" xfId="0" applyNumberFormat="1" applyFont="1" applyBorder="1" applyAlignment="1" applyProtection="1">
      <protection locked="0"/>
    </xf>
    <xf numFmtId="0" fontId="2" fillId="0" borderId="41" xfId="0" applyFont="1" applyBorder="1" applyAlignment="1"/>
    <xf numFmtId="0" fontId="2" fillId="0" borderId="42" xfId="0" applyFont="1" applyBorder="1" applyAlignment="1"/>
    <xf numFmtId="0" fontId="4" fillId="0" borderId="42" xfId="0" applyNumberFormat="1" applyFont="1" applyBorder="1" applyAlignment="1" applyProtection="1">
      <protection locked="0"/>
    </xf>
    <xf numFmtId="0" fontId="2" fillId="0" borderId="43" xfId="0" applyFont="1" applyBorder="1" applyAlignment="1"/>
    <xf numFmtId="0" fontId="12" fillId="0" borderId="38" xfId="0" applyNumberFormat="1" applyFont="1" applyBorder="1" applyAlignment="1" applyProtection="1">
      <protection locked="0"/>
    </xf>
    <xf numFmtId="0" fontId="0" fillId="0" borderId="29" xfId="0" applyNumberFormat="1" applyBorder="1" applyAlignment="1" applyProtection="1">
      <protection locked="0"/>
    </xf>
    <xf numFmtId="0" fontId="12" fillId="0" borderId="44" xfId="0" applyNumberFormat="1" applyFont="1" applyFill="1" applyBorder="1" applyAlignment="1" applyProtection="1">
      <protection locked="0"/>
    </xf>
    <xf numFmtId="0" fontId="4" fillId="0" borderId="45" xfId="0" applyNumberFormat="1" applyFont="1" applyBorder="1" applyAlignment="1" applyProtection="1">
      <protection locked="0"/>
    </xf>
    <xf numFmtId="0" fontId="4" fillId="0" borderId="46" xfId="0" applyNumberFormat="1" applyFont="1" applyBorder="1" applyAlignment="1" applyProtection="1">
      <protection locked="0"/>
    </xf>
    <xf numFmtId="2" fontId="10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4" fillId="0" borderId="48" xfId="0" applyNumberFormat="1" applyFont="1" applyBorder="1" applyAlignment="1" applyProtection="1">
      <protection locked="0"/>
    </xf>
    <xf numFmtId="0" fontId="12" fillId="0" borderId="48" xfId="0" applyNumberFormat="1" applyFont="1" applyFill="1" applyBorder="1" applyAlignment="1" applyProtection="1">
      <protection locked="0"/>
    </xf>
    <xf numFmtId="0" fontId="12" fillId="0" borderId="48" xfId="0" applyNumberFormat="1" applyFont="1" applyBorder="1" applyAlignment="1" applyProtection="1">
      <protection locked="0"/>
    </xf>
    <xf numFmtId="2" fontId="1" fillId="0" borderId="1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>
      <alignment horizontal="center"/>
    </xf>
    <xf numFmtId="0" fontId="4" fillId="0" borderId="47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30" xfId="0" applyNumberFormat="1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46"/>
  <sheetViews>
    <sheetView showOutlineSymbols="0" topLeftCell="A16" zoomScale="87" zoomScaleNormal="87" workbookViewId="0"/>
  </sheetViews>
  <sheetFormatPr defaultColWidth="9.6640625" defaultRowHeight="15"/>
  <cols>
    <col min="1" max="1" width="2.6640625" customWidth="1"/>
    <col min="2" max="2" width="8.6640625" customWidth="1"/>
    <col min="3" max="6" width="7.6640625" customWidth="1"/>
    <col min="7" max="8" width="8.6640625" customWidth="1"/>
    <col min="9" max="11" width="7.6640625" customWidth="1"/>
    <col min="12" max="13" width="8.6640625" customWidth="1"/>
    <col min="14" max="15" width="9.6640625" customWidth="1"/>
    <col min="16" max="16" width="2.6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1" customHeight="1">
      <c r="A2" s="1"/>
      <c r="B2" s="2" t="s">
        <v>30</v>
      </c>
      <c r="C2" s="3"/>
      <c r="D2" s="3"/>
      <c r="E2" s="3"/>
      <c r="F2" s="3"/>
      <c r="G2" s="4"/>
      <c r="H2" s="5" t="s">
        <v>0</v>
      </c>
      <c r="I2" s="6" t="s">
        <v>29</v>
      </c>
      <c r="J2" s="3"/>
      <c r="K2" s="4"/>
      <c r="L2" s="4"/>
      <c r="M2" s="7"/>
      <c r="N2" s="5" t="s">
        <v>1</v>
      </c>
      <c r="O2" s="8" t="s">
        <v>60</v>
      </c>
      <c r="P2" s="4"/>
      <c r="Q2" s="1"/>
    </row>
    <row r="3" spans="1:17" ht="20.100000000000001" customHeight="1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/>
      <c r="Q3" s="1"/>
    </row>
    <row r="4" spans="1:17" ht="18.95" customHeight="1">
      <c r="A4" s="1"/>
      <c r="B4" s="9"/>
      <c r="C4" s="9"/>
      <c r="D4" s="11" t="s">
        <v>2</v>
      </c>
      <c r="E4" s="12"/>
      <c r="F4" s="12"/>
      <c r="G4" s="12"/>
      <c r="H4" s="12"/>
      <c r="I4" s="11" t="s">
        <v>3</v>
      </c>
      <c r="J4" s="12"/>
      <c r="K4" s="12"/>
      <c r="L4" s="12"/>
      <c r="M4" s="12"/>
      <c r="N4" s="13"/>
      <c r="O4" s="9"/>
      <c r="P4" s="4"/>
      <c r="Q4" s="1"/>
    </row>
    <row r="5" spans="1:17" ht="18.95" customHeight="1">
      <c r="A5" s="1"/>
      <c r="B5" s="14" t="s">
        <v>4</v>
      </c>
      <c r="C5" s="14" t="s">
        <v>5</v>
      </c>
      <c r="D5" s="15"/>
      <c r="E5" s="16"/>
      <c r="F5" s="16"/>
      <c r="G5" s="14" t="s">
        <v>5</v>
      </c>
      <c r="H5" s="14" t="s">
        <v>6</v>
      </c>
      <c r="I5" s="15"/>
      <c r="J5" s="16"/>
      <c r="K5" s="16"/>
      <c r="L5" s="14" t="s">
        <v>5</v>
      </c>
      <c r="M5" s="14" t="s">
        <v>6</v>
      </c>
      <c r="N5" s="14" t="s">
        <v>7</v>
      </c>
      <c r="O5" s="14" t="s">
        <v>6</v>
      </c>
      <c r="P5" s="17"/>
      <c r="Q5" s="1"/>
    </row>
    <row r="6" spans="1:17" ht="18.95" customHeight="1">
      <c r="A6" s="1"/>
      <c r="B6" s="18"/>
      <c r="C6" s="19" t="s">
        <v>8</v>
      </c>
      <c r="D6" s="14" t="s">
        <v>9</v>
      </c>
      <c r="E6" s="20" t="s">
        <v>10</v>
      </c>
      <c r="F6" s="20" t="s">
        <v>11</v>
      </c>
      <c r="G6" s="19" t="s">
        <v>12</v>
      </c>
      <c r="H6" s="19" t="s">
        <v>13</v>
      </c>
      <c r="I6" s="14" t="s">
        <v>9</v>
      </c>
      <c r="J6" s="20" t="s">
        <v>10</v>
      </c>
      <c r="K6" s="20" t="s">
        <v>11</v>
      </c>
      <c r="L6" s="19" t="s">
        <v>12</v>
      </c>
      <c r="M6" s="19" t="s">
        <v>13</v>
      </c>
      <c r="N6" s="19" t="s">
        <v>14</v>
      </c>
      <c r="O6" s="19" t="s">
        <v>13</v>
      </c>
      <c r="P6" s="17"/>
      <c r="Q6" s="1"/>
    </row>
    <row r="7" spans="1:17" ht="18.95" customHeight="1">
      <c r="A7" s="1"/>
      <c r="B7" s="14" t="s">
        <v>15</v>
      </c>
      <c r="C7" s="21">
        <v>28</v>
      </c>
      <c r="D7" s="21">
        <v>3</v>
      </c>
      <c r="E7" s="22">
        <v>1</v>
      </c>
      <c r="F7" s="22">
        <v>0</v>
      </c>
      <c r="G7" s="22">
        <f>SUM(E7:F7)</f>
        <v>1</v>
      </c>
      <c r="H7" s="23">
        <f t="shared" ref="H7:H12" si="0">IF(C7&lt;&gt;0,G7/(C7/100),0)</f>
        <v>3.5714285714285712</v>
      </c>
      <c r="I7" s="21">
        <v>2</v>
      </c>
      <c r="J7" s="22">
        <v>6</v>
      </c>
      <c r="K7" s="22">
        <v>0</v>
      </c>
      <c r="L7" s="22">
        <f>SUM(J7:K7)</f>
        <v>6</v>
      </c>
      <c r="M7" s="23">
        <f t="shared" ref="M7:M12" si="1">IF(C7&lt;&gt;0,L7/(C7/100),0)</f>
        <v>21.428571428571427</v>
      </c>
      <c r="N7" s="21">
        <f>L7-G7</f>
        <v>5</v>
      </c>
      <c r="O7" s="23">
        <f t="shared" ref="O7:O12" si="2">IF(C7&lt;&gt;0,N7/(C7/100),0)</f>
        <v>17.857142857142854</v>
      </c>
      <c r="P7" s="17"/>
      <c r="Q7" s="1"/>
    </row>
    <row r="8" spans="1:17" ht="18.95" customHeight="1">
      <c r="A8" s="1"/>
      <c r="B8" s="14" t="s">
        <v>16</v>
      </c>
      <c r="C8" s="21">
        <v>418</v>
      </c>
      <c r="D8" s="24">
        <v>83</v>
      </c>
      <c r="E8" s="25">
        <v>98</v>
      </c>
      <c r="F8" s="25">
        <v>18</v>
      </c>
      <c r="G8" s="25">
        <f>SUM(E8:F8)</f>
        <v>116</v>
      </c>
      <c r="H8" s="26">
        <f t="shared" si="0"/>
        <v>27.751196172248807</v>
      </c>
      <c r="I8" s="24">
        <v>79</v>
      </c>
      <c r="J8" s="25">
        <v>185</v>
      </c>
      <c r="K8" s="25">
        <v>61</v>
      </c>
      <c r="L8" s="25">
        <f>SUM(J8:K8)</f>
        <v>246</v>
      </c>
      <c r="M8" s="26">
        <f t="shared" si="1"/>
        <v>58.851674641148328</v>
      </c>
      <c r="N8" s="24">
        <f>L8-G8</f>
        <v>130</v>
      </c>
      <c r="O8" s="26">
        <f t="shared" si="2"/>
        <v>31.100478468899524</v>
      </c>
      <c r="P8" s="17"/>
      <c r="Q8" s="1"/>
    </row>
    <row r="9" spans="1:17" ht="18.95" customHeight="1">
      <c r="A9" s="1"/>
      <c r="B9" s="14" t="s">
        <v>17</v>
      </c>
      <c r="C9" s="21">
        <v>418</v>
      </c>
      <c r="D9" s="24">
        <v>69</v>
      </c>
      <c r="E9" s="25">
        <v>160</v>
      </c>
      <c r="F9" s="25">
        <v>70</v>
      </c>
      <c r="G9" s="25">
        <f>SUM(E9:F9)</f>
        <v>230</v>
      </c>
      <c r="H9" s="26">
        <f t="shared" si="0"/>
        <v>55.023923444976077</v>
      </c>
      <c r="I9" s="24">
        <v>53</v>
      </c>
      <c r="J9" s="25">
        <v>187</v>
      </c>
      <c r="K9" s="25">
        <v>140</v>
      </c>
      <c r="L9" s="25">
        <f>SUM(J9:K9)</f>
        <v>327</v>
      </c>
      <c r="M9" s="26">
        <f t="shared" si="1"/>
        <v>78.229665071770341</v>
      </c>
      <c r="N9" s="24">
        <f>L9-G9</f>
        <v>97</v>
      </c>
      <c r="O9" s="26">
        <f t="shared" si="2"/>
        <v>23.205741626794261</v>
      </c>
      <c r="P9" s="17"/>
      <c r="Q9" s="1"/>
    </row>
    <row r="10" spans="1:17" ht="18.95" customHeight="1">
      <c r="A10" s="1"/>
      <c r="B10" s="14" t="s">
        <v>18</v>
      </c>
      <c r="C10" s="21">
        <v>205</v>
      </c>
      <c r="D10" s="24">
        <v>24</v>
      </c>
      <c r="E10" s="25">
        <v>93</v>
      </c>
      <c r="F10" s="25">
        <v>50</v>
      </c>
      <c r="G10" s="25">
        <f>SUM(E10:F10)</f>
        <v>143</v>
      </c>
      <c r="H10" s="26">
        <f t="shared" si="0"/>
        <v>69.756097560975618</v>
      </c>
      <c r="I10" s="24">
        <v>16</v>
      </c>
      <c r="J10" s="25">
        <v>76</v>
      </c>
      <c r="K10" s="25">
        <v>100</v>
      </c>
      <c r="L10" s="25">
        <f>SUM(J10:K10)</f>
        <v>176</v>
      </c>
      <c r="M10" s="26">
        <f t="shared" si="1"/>
        <v>85.853658536585371</v>
      </c>
      <c r="N10" s="24">
        <f>L10-G10</f>
        <v>33</v>
      </c>
      <c r="O10" s="26">
        <f t="shared" si="2"/>
        <v>16.097560975609756</v>
      </c>
      <c r="P10" s="17"/>
      <c r="Q10" s="1"/>
    </row>
    <row r="11" spans="1:17" ht="18.95" customHeight="1">
      <c r="A11" s="1"/>
      <c r="B11" s="14" t="s">
        <v>19</v>
      </c>
      <c r="C11" s="21">
        <v>4</v>
      </c>
      <c r="D11" s="24">
        <v>0</v>
      </c>
      <c r="E11" s="25">
        <v>3</v>
      </c>
      <c r="F11" s="25">
        <v>1</v>
      </c>
      <c r="G11" s="25">
        <f>SUM(E11:F11)</f>
        <v>4</v>
      </c>
      <c r="H11" s="26">
        <f t="shared" si="0"/>
        <v>100</v>
      </c>
      <c r="I11" s="24">
        <v>0</v>
      </c>
      <c r="J11" s="25">
        <v>1</v>
      </c>
      <c r="K11" s="25">
        <v>3</v>
      </c>
      <c r="L11" s="25">
        <f>SUM(J11:K11)</f>
        <v>4</v>
      </c>
      <c r="M11" s="26">
        <f t="shared" si="1"/>
        <v>100</v>
      </c>
      <c r="N11" s="24">
        <f>L11-G11</f>
        <v>0</v>
      </c>
      <c r="O11" s="26">
        <f t="shared" si="2"/>
        <v>0</v>
      </c>
      <c r="P11" s="17"/>
      <c r="Q11" s="1"/>
    </row>
    <row r="12" spans="1:17" ht="18.95" customHeight="1">
      <c r="A12" s="1"/>
      <c r="B12" s="14" t="s">
        <v>20</v>
      </c>
      <c r="C12" s="21">
        <f>SUM(C7:C11)</f>
        <v>1073</v>
      </c>
      <c r="D12" s="21">
        <f>SUM(D7:D11)</f>
        <v>179</v>
      </c>
      <c r="E12" s="22">
        <f>SUM(E7:E11)</f>
        <v>355</v>
      </c>
      <c r="F12" s="22">
        <f>SUM(F7:F11)</f>
        <v>139</v>
      </c>
      <c r="G12" s="22">
        <f>SUM(G7:G11)</f>
        <v>494</v>
      </c>
      <c r="H12" s="23">
        <f t="shared" si="0"/>
        <v>46.039142590866724</v>
      </c>
      <c r="I12" s="21">
        <f>SUM(I7:I11)</f>
        <v>150</v>
      </c>
      <c r="J12" s="22">
        <f>SUM(J7:J11)</f>
        <v>455</v>
      </c>
      <c r="K12" s="22">
        <f>SUM(K7:K11)</f>
        <v>304</v>
      </c>
      <c r="L12" s="22">
        <f>SUM(L7:L11)</f>
        <v>759</v>
      </c>
      <c r="M12" s="23">
        <f t="shared" si="1"/>
        <v>70.736253494874177</v>
      </c>
      <c r="N12" s="21">
        <f>SUM(N7:N11)</f>
        <v>265</v>
      </c>
      <c r="O12" s="23">
        <f t="shared" si="2"/>
        <v>24.697110904007456</v>
      </c>
      <c r="P12" s="17"/>
      <c r="Q12" s="1"/>
    </row>
    <row r="13" spans="1:17" ht="18.9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  <c r="Q13" s="1"/>
    </row>
    <row r="14" spans="1:17" ht="18.9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</row>
    <row r="15" spans="1:17" ht="18.95" customHeight="1">
      <c r="A15" s="1"/>
      <c r="B15" s="9"/>
      <c r="C15" s="9"/>
      <c r="D15" s="11" t="s">
        <v>2</v>
      </c>
      <c r="E15" s="12"/>
      <c r="F15" s="12"/>
      <c r="G15" s="12"/>
      <c r="H15" s="12"/>
      <c r="I15" s="11" t="s">
        <v>3</v>
      </c>
      <c r="J15" s="12"/>
      <c r="K15" s="12"/>
      <c r="L15" s="12"/>
      <c r="M15" s="12"/>
      <c r="N15" s="13"/>
      <c r="O15" s="9"/>
      <c r="P15" s="4"/>
      <c r="Q15" s="1"/>
    </row>
    <row r="16" spans="1:17" ht="18.95" customHeight="1">
      <c r="A16" s="1"/>
      <c r="B16" s="14" t="s">
        <v>4</v>
      </c>
      <c r="C16" s="14" t="s">
        <v>5</v>
      </c>
      <c r="D16" s="15"/>
      <c r="E16" s="16"/>
      <c r="F16" s="16"/>
      <c r="G16" s="11" t="s">
        <v>21</v>
      </c>
      <c r="H16" s="28"/>
      <c r="I16" s="15"/>
      <c r="J16" s="16"/>
      <c r="K16" s="16"/>
      <c r="L16" s="20"/>
      <c r="M16" s="20"/>
      <c r="N16" s="14" t="s">
        <v>21</v>
      </c>
      <c r="O16" s="14" t="s">
        <v>22</v>
      </c>
      <c r="P16" s="17"/>
      <c r="Q16" s="1"/>
    </row>
    <row r="17" spans="1:17" ht="18.95" customHeight="1" thickTop="1" thickBot="1">
      <c r="A17" s="1"/>
      <c r="B17" s="18"/>
      <c r="C17" s="19" t="s">
        <v>23</v>
      </c>
      <c r="D17" s="11" t="s">
        <v>24</v>
      </c>
      <c r="E17" s="28"/>
      <c r="F17" s="29" t="s">
        <v>25</v>
      </c>
      <c r="G17" s="30" t="s">
        <v>26</v>
      </c>
      <c r="H17" s="10"/>
      <c r="I17" s="11" t="s">
        <v>24</v>
      </c>
      <c r="J17" s="28"/>
      <c r="K17" s="29" t="s">
        <v>25</v>
      </c>
      <c r="L17" s="11" t="s">
        <v>27</v>
      </c>
      <c r="M17" s="28"/>
      <c r="N17" s="19" t="s">
        <v>26</v>
      </c>
      <c r="O17" s="19" t="s">
        <v>26</v>
      </c>
      <c r="P17" s="17"/>
      <c r="Q17" s="1"/>
    </row>
    <row r="18" spans="1:17" ht="18.95" customHeight="1" thickTop="1" thickBot="1">
      <c r="A18" s="1"/>
      <c r="B18" s="14" t="s">
        <v>28</v>
      </c>
      <c r="C18" s="21">
        <v>212</v>
      </c>
      <c r="D18" s="104">
        <v>114</v>
      </c>
      <c r="E18" s="105"/>
      <c r="F18" s="22">
        <v>98</v>
      </c>
      <c r="G18" s="102">
        <f>IF(C18&lt;&gt;0,F18/(C18/100),0)</f>
        <v>46.226415094339622</v>
      </c>
      <c r="H18" s="103"/>
      <c r="I18" s="104">
        <v>70</v>
      </c>
      <c r="J18" s="105"/>
      <c r="K18" s="32">
        <v>113</v>
      </c>
      <c r="L18" s="106">
        <v>29</v>
      </c>
      <c r="M18" s="103"/>
      <c r="N18" s="96">
        <f>IF(C18&lt;&gt;0,K18/(C18/100),0)</f>
        <v>53.301886792452827</v>
      </c>
      <c r="O18" s="33">
        <f>IF(C18&lt;&gt;0,L18/(C18/100),0)</f>
        <v>13.679245283018867</v>
      </c>
      <c r="P18" s="17"/>
      <c r="Q18" s="1"/>
    </row>
    <row r="19" spans="1:17" ht="15.75" thickTop="1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  <c r="Q20" s="1"/>
    </row>
    <row r="21" spans="1:17" ht="21.75">
      <c r="A21" s="1"/>
      <c r="B21" s="2" t="s">
        <v>31</v>
      </c>
      <c r="C21" s="3"/>
      <c r="D21" s="3"/>
      <c r="E21" s="3"/>
      <c r="F21" s="3"/>
      <c r="G21" s="4"/>
      <c r="H21" s="5" t="s">
        <v>0</v>
      </c>
      <c r="I21" s="6" t="s">
        <v>29</v>
      </c>
      <c r="J21" s="3"/>
      <c r="K21" s="4"/>
      <c r="L21" s="4"/>
      <c r="M21" s="7"/>
      <c r="N21" s="5" t="s">
        <v>1</v>
      </c>
      <c r="O21" s="8" t="str">
        <f>$O$2</f>
        <v>2014-15</v>
      </c>
      <c r="P21" s="4"/>
      <c r="Q21" s="1"/>
    </row>
    <row r="22" spans="1:17" ht="15.75" thickBot="1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4"/>
      <c r="Q22" s="1"/>
    </row>
    <row r="23" spans="1:17" ht="17.25" thickTop="1" thickBot="1">
      <c r="A23" s="1"/>
      <c r="B23" s="48"/>
      <c r="C23" s="48"/>
      <c r="D23" s="11" t="s">
        <v>2</v>
      </c>
      <c r="E23" s="49"/>
      <c r="F23" s="49"/>
      <c r="G23" s="49"/>
      <c r="H23" s="49"/>
      <c r="I23" s="11" t="s">
        <v>3</v>
      </c>
      <c r="J23" s="49"/>
      <c r="K23" s="49"/>
      <c r="L23" s="49"/>
      <c r="M23" s="49"/>
      <c r="N23" s="50"/>
      <c r="O23" s="48"/>
      <c r="P23" s="4"/>
      <c r="Q23" s="1"/>
    </row>
    <row r="24" spans="1:17" ht="17.25" thickTop="1" thickBot="1">
      <c r="A24" s="1"/>
      <c r="B24" s="14" t="s">
        <v>4</v>
      </c>
      <c r="C24" s="14" t="s">
        <v>5</v>
      </c>
      <c r="D24" s="15"/>
      <c r="E24" s="16"/>
      <c r="F24" s="16"/>
      <c r="G24" s="14" t="s">
        <v>5</v>
      </c>
      <c r="H24" s="14" t="s">
        <v>6</v>
      </c>
      <c r="I24" s="15"/>
      <c r="J24" s="16"/>
      <c r="K24" s="16"/>
      <c r="L24" s="14" t="s">
        <v>5</v>
      </c>
      <c r="M24" s="14" t="s">
        <v>6</v>
      </c>
      <c r="N24" s="14" t="s">
        <v>7</v>
      </c>
      <c r="O24" s="34" t="s">
        <v>6</v>
      </c>
      <c r="P24" s="1"/>
    </row>
    <row r="25" spans="1:17" ht="17.25" thickTop="1" thickBot="1">
      <c r="B25" s="18"/>
      <c r="C25" s="19" t="s">
        <v>8</v>
      </c>
      <c r="D25" s="14" t="s">
        <v>9</v>
      </c>
      <c r="E25" s="20" t="s">
        <v>10</v>
      </c>
      <c r="F25" s="20" t="s">
        <v>11</v>
      </c>
      <c r="G25" s="19" t="s">
        <v>12</v>
      </c>
      <c r="H25" s="19" t="s">
        <v>13</v>
      </c>
      <c r="I25" s="14" t="s">
        <v>9</v>
      </c>
      <c r="J25" s="20" t="s">
        <v>10</v>
      </c>
      <c r="K25" s="20" t="s">
        <v>11</v>
      </c>
      <c r="L25" s="19" t="s">
        <v>12</v>
      </c>
      <c r="M25" s="19" t="s">
        <v>13</v>
      </c>
      <c r="N25" s="19" t="s">
        <v>14</v>
      </c>
      <c r="O25" s="35" t="s">
        <v>13</v>
      </c>
    </row>
    <row r="26" spans="1:17" ht="17.25" thickTop="1" thickBot="1">
      <c r="B26" s="14" t="s">
        <v>15</v>
      </c>
      <c r="C26" s="51">
        <f>42+15+7+13+12+41+36+36</f>
        <v>202</v>
      </c>
      <c r="D26" s="51">
        <f>6+1+0+0+2+5+4+13</f>
        <v>31</v>
      </c>
      <c r="E26" s="52">
        <f>2+3+1+0+1+3+0+2</f>
        <v>12</v>
      </c>
      <c r="F26" s="52">
        <f>0+0+1+0+0+5+0+0</f>
        <v>6</v>
      </c>
      <c r="G26" s="52">
        <f>SUM(E26:F26)</f>
        <v>18</v>
      </c>
      <c r="H26" s="53">
        <f t="shared" ref="H26:H31" si="3">IF(C26&lt;&gt;0,G26/(C26/100),0)</f>
        <v>8.9108910891089117</v>
      </c>
      <c r="I26" s="51">
        <f>13+2+2+2+4+17+3+13</f>
        <v>56</v>
      </c>
      <c r="J26" s="52">
        <f>10+4+1+3+2+4+9+11</f>
        <v>44</v>
      </c>
      <c r="K26" s="52">
        <f>4+4+2+0+0+14+2+2</f>
        <v>28</v>
      </c>
      <c r="L26" s="52">
        <f>SUM(J26:K26)</f>
        <v>72</v>
      </c>
      <c r="M26" s="53">
        <f t="shared" ref="M26:M31" si="4">IF(C26&lt;&gt;0,L26/(C26/100),0)</f>
        <v>35.643564356435647</v>
      </c>
      <c r="N26" s="51">
        <f>L26-G26</f>
        <v>54</v>
      </c>
      <c r="O26" s="59">
        <f t="shared" ref="O26:O31" si="5">IF(C26&lt;&gt;0,N26/(C26/100),0)</f>
        <v>26.732673267326732</v>
      </c>
    </row>
    <row r="27" spans="1:17" ht="17.25" thickTop="1" thickBot="1">
      <c r="B27" s="14" t="s">
        <v>16</v>
      </c>
      <c r="C27" s="51">
        <f>16+8+3+6+18+3+7</f>
        <v>61</v>
      </c>
      <c r="D27" s="54">
        <f>3+0+1+1+5+1+3</f>
        <v>14</v>
      </c>
      <c r="E27" s="55">
        <f>1+0+0+2+2+0+4</f>
        <v>9</v>
      </c>
      <c r="F27" s="55">
        <f>8+4+1+1+10+2+0</f>
        <v>26</v>
      </c>
      <c r="G27" s="55">
        <f>SUM(E27:F27)</f>
        <v>35</v>
      </c>
      <c r="H27" s="56">
        <f t="shared" si="3"/>
        <v>57.377049180327873</v>
      </c>
      <c r="I27" s="54">
        <f>5+0+0+0+2+0+0</f>
        <v>7</v>
      </c>
      <c r="J27" s="55">
        <f>2+1+0+0+5+1+0</f>
        <v>9</v>
      </c>
      <c r="K27" s="55">
        <f>9+4+2+6+11+2+7</f>
        <v>41</v>
      </c>
      <c r="L27" s="55">
        <f>SUM(J27:K27)</f>
        <v>50</v>
      </c>
      <c r="M27" s="56">
        <f t="shared" si="4"/>
        <v>81.967213114754102</v>
      </c>
      <c r="N27" s="54">
        <f>L27-G27</f>
        <v>15</v>
      </c>
      <c r="O27" s="60">
        <f t="shared" si="5"/>
        <v>24.590163934426229</v>
      </c>
    </row>
    <row r="28" spans="1:17" ht="17.25" thickTop="1" thickBot="1">
      <c r="B28" s="14" t="s">
        <v>17</v>
      </c>
      <c r="C28" s="51">
        <f>1+3</f>
        <v>4</v>
      </c>
      <c r="D28" s="54">
        <f>0+0</f>
        <v>0</v>
      </c>
      <c r="E28" s="55">
        <f>0+0</f>
        <v>0</v>
      </c>
      <c r="F28" s="55">
        <f>1+3</f>
        <v>4</v>
      </c>
      <c r="G28" s="55">
        <f>SUM(E28:F28)</f>
        <v>4</v>
      </c>
      <c r="H28" s="56">
        <f t="shared" si="3"/>
        <v>100</v>
      </c>
      <c r="I28" s="54">
        <f>0+0</f>
        <v>0</v>
      </c>
      <c r="J28" s="55">
        <f>0+0</f>
        <v>0</v>
      </c>
      <c r="K28" s="55">
        <f>1+3</f>
        <v>4</v>
      </c>
      <c r="L28" s="55">
        <f>SUM(J28:K28)</f>
        <v>4</v>
      </c>
      <c r="M28" s="56">
        <f t="shared" si="4"/>
        <v>100</v>
      </c>
      <c r="N28" s="54">
        <f>L28-G28</f>
        <v>0</v>
      </c>
      <c r="O28" s="60">
        <f t="shared" si="5"/>
        <v>0</v>
      </c>
    </row>
    <row r="29" spans="1:17" ht="17.25" thickTop="1" thickBot="1">
      <c r="B29" s="14" t="s">
        <v>18</v>
      </c>
      <c r="C29" s="51">
        <f>5</f>
        <v>5</v>
      </c>
      <c r="D29" s="54">
        <f>0</f>
        <v>0</v>
      </c>
      <c r="E29" s="55">
        <f>0</f>
        <v>0</v>
      </c>
      <c r="F29" s="55">
        <f>5</f>
        <v>5</v>
      </c>
      <c r="G29" s="55">
        <f>SUM(E29:F29)</f>
        <v>5</v>
      </c>
      <c r="H29" s="56">
        <f t="shared" si="3"/>
        <v>100</v>
      </c>
      <c r="I29" s="54">
        <f>0</f>
        <v>0</v>
      </c>
      <c r="J29" s="55">
        <f>0</f>
        <v>0</v>
      </c>
      <c r="K29" s="55">
        <f>5</f>
        <v>5</v>
      </c>
      <c r="L29" s="55">
        <f>SUM(J29:K29)</f>
        <v>5</v>
      </c>
      <c r="M29" s="56">
        <f t="shared" si="4"/>
        <v>100</v>
      </c>
      <c r="N29" s="54">
        <f>L29-G29</f>
        <v>0</v>
      </c>
      <c r="O29" s="60">
        <f t="shared" si="5"/>
        <v>0</v>
      </c>
    </row>
    <row r="30" spans="1:17" ht="17.25" thickTop="1" thickBot="1">
      <c r="B30" s="14" t="s">
        <v>19</v>
      </c>
      <c r="C30" s="51"/>
      <c r="D30" s="54"/>
      <c r="E30" s="55"/>
      <c r="F30" s="55"/>
      <c r="G30" s="55">
        <f>SUM(E30:F30)</f>
        <v>0</v>
      </c>
      <c r="H30" s="56">
        <f t="shared" si="3"/>
        <v>0</v>
      </c>
      <c r="I30" s="54"/>
      <c r="J30" s="55"/>
      <c r="K30" s="55"/>
      <c r="L30" s="55">
        <f>SUM(J30:K30)</f>
        <v>0</v>
      </c>
      <c r="M30" s="56">
        <f t="shared" si="4"/>
        <v>0</v>
      </c>
      <c r="N30" s="54">
        <f>L30-G30</f>
        <v>0</v>
      </c>
      <c r="O30" s="60">
        <f t="shared" si="5"/>
        <v>0</v>
      </c>
    </row>
    <row r="31" spans="1:17" ht="17.25" thickTop="1" thickBot="1">
      <c r="B31" s="36" t="s">
        <v>20</v>
      </c>
      <c r="C31" s="61">
        <f>SUM(C26:C30)</f>
        <v>272</v>
      </c>
      <c r="D31" s="61">
        <f>SUM(D26:D30)</f>
        <v>45</v>
      </c>
      <c r="E31" s="62">
        <f>SUM(E26:E30)</f>
        <v>21</v>
      </c>
      <c r="F31" s="62">
        <f>SUM(F26:F30)</f>
        <v>41</v>
      </c>
      <c r="G31" s="62">
        <f>SUM(G26:G30)</f>
        <v>62</v>
      </c>
      <c r="H31" s="63">
        <f t="shared" si="3"/>
        <v>22.794117647058822</v>
      </c>
      <c r="I31" s="61">
        <f>SUM(I26:I30)</f>
        <v>63</v>
      </c>
      <c r="J31" s="62">
        <f>SUM(J26:J30)</f>
        <v>53</v>
      </c>
      <c r="K31" s="62">
        <f>SUM(K26:K30)</f>
        <v>78</v>
      </c>
      <c r="L31" s="62">
        <f>SUM(L26:L30)</f>
        <v>131</v>
      </c>
      <c r="M31" s="63">
        <f t="shared" si="4"/>
        <v>48.161764705882348</v>
      </c>
      <c r="N31" s="61">
        <f>SUM(N26:N30)</f>
        <v>69</v>
      </c>
      <c r="O31" s="64">
        <f t="shared" si="5"/>
        <v>25.367647058823529</v>
      </c>
    </row>
    <row r="32" spans="1:17" ht="15.75" thickTop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5.75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7.25" thickTop="1" thickBot="1">
      <c r="B34" s="48"/>
      <c r="C34" s="48"/>
      <c r="D34" s="11" t="s">
        <v>2</v>
      </c>
      <c r="E34" s="49"/>
      <c r="F34" s="49"/>
      <c r="G34" s="49"/>
      <c r="H34" s="49"/>
      <c r="I34" s="11" t="s">
        <v>3</v>
      </c>
      <c r="J34" s="49"/>
      <c r="K34" s="49"/>
      <c r="L34" s="49"/>
      <c r="M34" s="49"/>
      <c r="N34" s="50"/>
      <c r="O34" s="48"/>
    </row>
    <row r="35" spans="2:15" ht="17.25" thickTop="1" thickBot="1">
      <c r="B35" s="14" t="s">
        <v>4</v>
      </c>
      <c r="C35" s="14" t="s">
        <v>5</v>
      </c>
      <c r="D35" s="15"/>
      <c r="E35" s="16"/>
      <c r="F35" s="16"/>
      <c r="G35" s="11" t="s">
        <v>21</v>
      </c>
      <c r="H35" s="28"/>
      <c r="I35" s="15"/>
      <c r="J35" s="16"/>
      <c r="K35" s="16"/>
      <c r="L35" s="20"/>
      <c r="M35" s="20"/>
      <c r="N35" s="14" t="s">
        <v>21</v>
      </c>
      <c r="O35" s="34" t="s">
        <v>22</v>
      </c>
    </row>
    <row r="36" spans="2:15" ht="17.25" thickTop="1" thickBot="1">
      <c r="B36" s="18"/>
      <c r="C36" s="19" t="s">
        <v>23</v>
      </c>
      <c r="D36" s="11" t="s">
        <v>24</v>
      </c>
      <c r="E36" s="28"/>
      <c r="F36" s="29" t="s">
        <v>25</v>
      </c>
      <c r="G36" s="30" t="s">
        <v>26</v>
      </c>
      <c r="H36" s="10"/>
      <c r="I36" s="11" t="s">
        <v>24</v>
      </c>
      <c r="J36" s="28"/>
      <c r="K36" s="29" t="s">
        <v>25</v>
      </c>
      <c r="L36" s="11" t="s">
        <v>27</v>
      </c>
      <c r="M36" s="28"/>
      <c r="N36" s="19" t="s">
        <v>26</v>
      </c>
      <c r="O36" s="35" t="s">
        <v>26</v>
      </c>
    </row>
    <row r="37" spans="2:15" ht="17.25" thickTop="1" thickBot="1">
      <c r="B37" s="36" t="s">
        <v>28</v>
      </c>
      <c r="C37" s="61">
        <f>218+50+47+65+18</f>
        <v>398</v>
      </c>
      <c r="D37" s="107">
        <f>128+33+22+30+8</f>
        <v>221</v>
      </c>
      <c r="E37" s="105"/>
      <c r="F37" s="62">
        <f>90+17+25+35+10</f>
        <v>177</v>
      </c>
      <c r="G37" s="102">
        <f>IF(C37&lt;&gt;0,F37/(C37/100),0)</f>
        <v>44.472361809045225</v>
      </c>
      <c r="H37" s="103"/>
      <c r="I37" s="107">
        <f>109+23+12+21+3</f>
        <v>168</v>
      </c>
      <c r="J37" s="105"/>
      <c r="K37" s="65">
        <f>84+13+27+37+11</f>
        <v>172</v>
      </c>
      <c r="L37" s="108">
        <f>25+14+8+6+0</f>
        <v>53</v>
      </c>
      <c r="M37" s="103"/>
      <c r="N37" s="98">
        <f>IF(C37&lt;&gt;0,K37/(C37/100),0)</f>
        <v>43.21608040201005</v>
      </c>
      <c r="O37" s="66">
        <f>IF(C37&lt;&gt;0,L37/(C37/100),0)</f>
        <v>13.316582914572864</v>
      </c>
    </row>
    <row r="38" spans="2:15" ht="15.75" thickTop="1"/>
    <row r="42" spans="2:15" ht="23.25">
      <c r="B42" s="45" t="s">
        <v>34</v>
      </c>
    </row>
    <row r="43" spans="2:15" ht="15.75" thickBot="1"/>
    <row r="44" spans="2:15" ht="24" thickTop="1">
      <c r="B44" s="37" t="s">
        <v>33</v>
      </c>
      <c r="C44" s="38"/>
      <c r="D44" s="38"/>
      <c r="E44" s="38"/>
      <c r="F44" s="43"/>
      <c r="G44" s="39">
        <f>C12+C31</f>
        <v>1345</v>
      </c>
    </row>
    <row r="45" spans="2:15" ht="24" thickBot="1">
      <c r="B45" s="40" t="s">
        <v>32</v>
      </c>
      <c r="C45" s="41"/>
      <c r="D45" s="41"/>
      <c r="E45" s="41"/>
      <c r="F45" s="44"/>
      <c r="G45" s="42">
        <f>C18+C37</f>
        <v>610</v>
      </c>
    </row>
    <row r="46" spans="2:15" ht="15.75" thickTop="1"/>
  </sheetData>
  <mergeCells count="8">
    <mergeCell ref="G18:H18"/>
    <mergeCell ref="G37:H37"/>
    <mergeCell ref="D18:E18"/>
    <mergeCell ref="I18:J18"/>
    <mergeCell ref="L18:M18"/>
    <mergeCell ref="D37:E37"/>
    <mergeCell ref="I37:J37"/>
    <mergeCell ref="L37:M37"/>
  </mergeCells>
  <phoneticPr fontId="11" type="noConversion"/>
  <printOptions horizontalCentered="1" verticalCentered="1"/>
  <pageMargins left="0.27559055118110237" right="0.27559055118110237" top="0.51181102362204722" bottom="0.51181102362204722" header="0.51181102362204722" footer="0.51181102362204722"/>
  <pageSetup paperSize="9" scale="68" orientation="portrait" r:id="rId1"/>
  <headerFooter alignWithMargins="0">
    <oddHeader>&amp;L&amp;"Times New Roman,Tučné"&amp;24Vyhodnocení plavecké výuky škol. roku 2012/2013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46"/>
  <sheetViews>
    <sheetView showOutlineSymbols="0" topLeftCell="A19" zoomScale="87" zoomScaleNormal="87" workbookViewId="0"/>
  </sheetViews>
  <sheetFormatPr defaultColWidth="9.6640625" defaultRowHeight="15"/>
  <cols>
    <col min="1" max="1" width="2.6640625" customWidth="1"/>
    <col min="2" max="2" width="8.6640625" customWidth="1"/>
    <col min="3" max="6" width="7.6640625" customWidth="1"/>
    <col min="7" max="8" width="8.6640625" customWidth="1"/>
    <col min="9" max="11" width="7.6640625" customWidth="1"/>
    <col min="12" max="13" width="8.6640625" customWidth="1"/>
    <col min="14" max="15" width="9.6640625" customWidth="1"/>
    <col min="16" max="16" width="2.6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1" customHeight="1">
      <c r="A2" s="1"/>
      <c r="B2" s="2" t="s">
        <v>30</v>
      </c>
      <c r="C2" s="3"/>
      <c r="D2" s="3"/>
      <c r="E2" s="3"/>
      <c r="F2" s="3"/>
      <c r="G2" s="4"/>
      <c r="H2" s="46" t="s">
        <v>0</v>
      </c>
      <c r="I2" s="47" t="s">
        <v>35</v>
      </c>
      <c r="J2" s="3"/>
      <c r="K2" s="4"/>
      <c r="L2" s="4"/>
      <c r="M2" s="7"/>
      <c r="N2" s="46" t="s">
        <v>1</v>
      </c>
      <c r="O2" s="8" t="str">
        <f>'VYHODNOCENí I.'!$O$2</f>
        <v>2014-15</v>
      </c>
      <c r="P2" s="4"/>
      <c r="Q2" s="1"/>
    </row>
    <row r="3" spans="1:17" ht="20.100000000000001" customHeight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"/>
      <c r="Q3" s="1"/>
    </row>
    <row r="4" spans="1:17" ht="18.95" customHeight="1">
      <c r="A4" s="1"/>
      <c r="B4" s="48"/>
      <c r="C4" s="48"/>
      <c r="D4" s="11" t="s">
        <v>2</v>
      </c>
      <c r="E4" s="49"/>
      <c r="F4" s="49"/>
      <c r="G4" s="49"/>
      <c r="H4" s="49"/>
      <c r="I4" s="11" t="s">
        <v>3</v>
      </c>
      <c r="J4" s="49"/>
      <c r="K4" s="49"/>
      <c r="L4" s="49"/>
      <c r="M4" s="49"/>
      <c r="N4" s="50"/>
      <c r="O4" s="48"/>
      <c r="P4" s="4"/>
      <c r="Q4" s="1"/>
    </row>
    <row r="5" spans="1:17" ht="18.95" customHeight="1">
      <c r="A5" s="1"/>
      <c r="B5" s="14" t="s">
        <v>4</v>
      </c>
      <c r="C5" s="14" t="s">
        <v>5</v>
      </c>
      <c r="D5" s="15"/>
      <c r="E5" s="16"/>
      <c r="F5" s="16"/>
      <c r="G5" s="14" t="s">
        <v>5</v>
      </c>
      <c r="H5" s="14" t="s">
        <v>6</v>
      </c>
      <c r="I5" s="15"/>
      <c r="J5" s="16"/>
      <c r="K5" s="16"/>
      <c r="L5" s="14" t="s">
        <v>5</v>
      </c>
      <c r="M5" s="14" t="s">
        <v>6</v>
      </c>
      <c r="N5" s="14" t="s">
        <v>7</v>
      </c>
      <c r="O5" s="14" t="s">
        <v>6</v>
      </c>
      <c r="P5" s="17"/>
      <c r="Q5" s="1"/>
    </row>
    <row r="6" spans="1:17" ht="18.95" customHeight="1">
      <c r="A6" s="1"/>
      <c r="B6" s="18"/>
      <c r="C6" s="19" t="s">
        <v>8</v>
      </c>
      <c r="D6" s="14" t="s">
        <v>9</v>
      </c>
      <c r="E6" s="20" t="s">
        <v>10</v>
      </c>
      <c r="F6" s="20" t="s">
        <v>11</v>
      </c>
      <c r="G6" s="19" t="s">
        <v>12</v>
      </c>
      <c r="H6" s="19" t="s">
        <v>13</v>
      </c>
      <c r="I6" s="14" t="s">
        <v>9</v>
      </c>
      <c r="J6" s="20" t="s">
        <v>10</v>
      </c>
      <c r="K6" s="20" t="s">
        <v>11</v>
      </c>
      <c r="L6" s="19" t="s">
        <v>12</v>
      </c>
      <c r="M6" s="19" t="s">
        <v>13</v>
      </c>
      <c r="N6" s="19" t="s">
        <v>14</v>
      </c>
      <c r="O6" s="19" t="s">
        <v>13</v>
      </c>
      <c r="P6" s="17"/>
      <c r="Q6" s="1"/>
    </row>
    <row r="7" spans="1:17" ht="18.95" customHeight="1">
      <c r="A7" s="1"/>
      <c r="B7" s="14" t="s">
        <v>15</v>
      </c>
      <c r="C7" s="51">
        <v>90</v>
      </c>
      <c r="D7" s="51">
        <v>15</v>
      </c>
      <c r="E7" s="52">
        <v>2</v>
      </c>
      <c r="F7" s="52">
        <v>1</v>
      </c>
      <c r="G7" s="52">
        <f>SUM(E7:F7)</f>
        <v>3</v>
      </c>
      <c r="H7" s="53">
        <f t="shared" ref="H7:H12" si="0">IF(C7&lt;&gt;0,G7/(C7/100),0)</f>
        <v>3.333333333333333</v>
      </c>
      <c r="I7" s="51">
        <v>25</v>
      </c>
      <c r="J7" s="52">
        <v>21</v>
      </c>
      <c r="K7" s="52">
        <v>2</v>
      </c>
      <c r="L7" s="52">
        <f>SUM(J7:K7)</f>
        <v>23</v>
      </c>
      <c r="M7" s="53">
        <f t="shared" ref="M7:M12" si="1">IF(C7&lt;&gt;0,L7/(C7/100),0)</f>
        <v>25.555555555555554</v>
      </c>
      <c r="N7" s="51">
        <f>L7-G7</f>
        <v>20</v>
      </c>
      <c r="O7" s="53">
        <f t="shared" ref="O7:O12" si="2">IF(C7&lt;&gt;0,N7/(C7/100),0)</f>
        <v>22.222222222222221</v>
      </c>
      <c r="P7" s="17"/>
      <c r="Q7" s="1"/>
    </row>
    <row r="8" spans="1:17" ht="18.95" customHeight="1">
      <c r="A8" s="1"/>
      <c r="B8" s="14" t="s">
        <v>16</v>
      </c>
      <c r="C8" s="51">
        <v>275</v>
      </c>
      <c r="D8" s="54">
        <v>58</v>
      </c>
      <c r="E8" s="55">
        <v>75</v>
      </c>
      <c r="F8" s="55">
        <v>26</v>
      </c>
      <c r="G8" s="55">
        <f>SUM(E8:F8)</f>
        <v>101</v>
      </c>
      <c r="H8" s="56">
        <f t="shared" si="0"/>
        <v>36.727272727272727</v>
      </c>
      <c r="I8" s="54">
        <v>44</v>
      </c>
      <c r="J8" s="55">
        <v>113</v>
      </c>
      <c r="K8" s="55">
        <v>55</v>
      </c>
      <c r="L8" s="55">
        <f>SUM(J8:K8)</f>
        <v>168</v>
      </c>
      <c r="M8" s="56">
        <f t="shared" si="1"/>
        <v>61.090909090909093</v>
      </c>
      <c r="N8" s="54">
        <f>L8-G8</f>
        <v>67</v>
      </c>
      <c r="O8" s="56">
        <f t="shared" si="2"/>
        <v>24.363636363636363</v>
      </c>
      <c r="P8" s="17"/>
      <c r="Q8" s="1"/>
    </row>
    <row r="9" spans="1:17" ht="18.95" customHeight="1">
      <c r="A9" s="1"/>
      <c r="B9" s="14" t="s">
        <v>17</v>
      </c>
      <c r="C9" s="51">
        <v>376</v>
      </c>
      <c r="D9" s="54">
        <v>62</v>
      </c>
      <c r="E9" s="55">
        <v>134</v>
      </c>
      <c r="F9" s="55">
        <v>70</v>
      </c>
      <c r="G9" s="55">
        <f>SUM(E9:F9)</f>
        <v>204</v>
      </c>
      <c r="H9" s="56">
        <f t="shared" si="0"/>
        <v>54.255319148936174</v>
      </c>
      <c r="I9" s="54">
        <v>57</v>
      </c>
      <c r="J9" s="55">
        <v>161</v>
      </c>
      <c r="K9" s="55">
        <v>115</v>
      </c>
      <c r="L9" s="55">
        <f>SUM(J9:K9)</f>
        <v>276</v>
      </c>
      <c r="M9" s="56">
        <f t="shared" si="1"/>
        <v>73.404255319148945</v>
      </c>
      <c r="N9" s="54">
        <f>L9-G9</f>
        <v>72</v>
      </c>
      <c r="O9" s="56">
        <f t="shared" si="2"/>
        <v>19.148936170212767</v>
      </c>
      <c r="P9" s="17"/>
      <c r="Q9" s="1"/>
    </row>
    <row r="10" spans="1:17" ht="18.95" customHeight="1">
      <c r="A10" s="1"/>
      <c r="B10" s="14" t="s">
        <v>18</v>
      </c>
      <c r="C10" s="51">
        <v>152</v>
      </c>
      <c r="D10" s="54">
        <v>17</v>
      </c>
      <c r="E10" s="55">
        <v>59</v>
      </c>
      <c r="F10" s="55">
        <v>54</v>
      </c>
      <c r="G10" s="55">
        <f>SUM(E10:F10)</f>
        <v>113</v>
      </c>
      <c r="H10" s="56">
        <f t="shared" si="0"/>
        <v>74.34210526315789</v>
      </c>
      <c r="I10" s="54">
        <v>9</v>
      </c>
      <c r="J10" s="55">
        <v>43</v>
      </c>
      <c r="K10" s="55">
        <v>90</v>
      </c>
      <c r="L10" s="55">
        <f>SUM(J10:K10)</f>
        <v>133</v>
      </c>
      <c r="M10" s="56">
        <f t="shared" si="1"/>
        <v>87.5</v>
      </c>
      <c r="N10" s="54">
        <f>L10-G10</f>
        <v>20</v>
      </c>
      <c r="O10" s="56">
        <f t="shared" si="2"/>
        <v>13.157894736842104</v>
      </c>
      <c r="P10" s="17"/>
      <c r="Q10" s="1"/>
    </row>
    <row r="11" spans="1:17" ht="18.95" customHeight="1">
      <c r="A11" s="1"/>
      <c r="B11" s="14" t="s">
        <v>19</v>
      </c>
      <c r="C11" s="51">
        <v>50</v>
      </c>
      <c r="D11" s="54">
        <v>0</v>
      </c>
      <c r="E11" s="55">
        <v>26</v>
      </c>
      <c r="F11" s="55">
        <v>22</v>
      </c>
      <c r="G11" s="55">
        <f>SUM(E11:F11)</f>
        <v>48</v>
      </c>
      <c r="H11" s="56">
        <f t="shared" si="0"/>
        <v>96</v>
      </c>
      <c r="I11" s="54">
        <v>0</v>
      </c>
      <c r="J11" s="55">
        <v>12</v>
      </c>
      <c r="K11" s="55">
        <v>38</v>
      </c>
      <c r="L11" s="55">
        <f>SUM(J11:K11)</f>
        <v>50</v>
      </c>
      <c r="M11" s="56">
        <f t="shared" si="1"/>
        <v>100</v>
      </c>
      <c r="N11" s="54">
        <f>L11-G11</f>
        <v>2</v>
      </c>
      <c r="O11" s="56">
        <f t="shared" si="2"/>
        <v>4</v>
      </c>
      <c r="P11" s="17"/>
      <c r="Q11" s="1"/>
    </row>
    <row r="12" spans="1:17" ht="18.95" customHeight="1">
      <c r="A12" s="1"/>
      <c r="B12" s="14" t="s">
        <v>20</v>
      </c>
      <c r="C12" s="51">
        <f>SUM(C7:C11)</f>
        <v>943</v>
      </c>
      <c r="D12" s="51">
        <f>SUM(D7:D11)</f>
        <v>152</v>
      </c>
      <c r="E12" s="52">
        <f>SUM(E7:E11)</f>
        <v>296</v>
      </c>
      <c r="F12" s="52">
        <f>SUM(F7:F11)</f>
        <v>173</v>
      </c>
      <c r="G12" s="52">
        <f>SUM(G7:G11)</f>
        <v>469</v>
      </c>
      <c r="H12" s="53">
        <f t="shared" si="0"/>
        <v>49.734888653234357</v>
      </c>
      <c r="I12" s="51">
        <f>SUM(I7:I11)</f>
        <v>135</v>
      </c>
      <c r="J12" s="52">
        <f>SUM(J7:J11)</f>
        <v>350</v>
      </c>
      <c r="K12" s="52">
        <f>SUM(K7:K11)</f>
        <v>300</v>
      </c>
      <c r="L12" s="52">
        <f>SUM(L7:L11)</f>
        <v>650</v>
      </c>
      <c r="M12" s="53">
        <f t="shared" si="1"/>
        <v>68.928950159066815</v>
      </c>
      <c r="N12" s="51">
        <f>SUM(N7:N11)</f>
        <v>181</v>
      </c>
      <c r="O12" s="53">
        <f t="shared" si="2"/>
        <v>19.194061505832451</v>
      </c>
      <c r="P12" s="17"/>
      <c r="Q12" s="1"/>
    </row>
    <row r="13" spans="1:17" ht="18.9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  <c r="Q13" s="1"/>
    </row>
    <row r="14" spans="1:17" ht="18.9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</row>
    <row r="15" spans="1:17" ht="18.95" customHeight="1">
      <c r="A15" s="1"/>
      <c r="B15" s="48"/>
      <c r="C15" s="48"/>
      <c r="D15" s="11" t="s">
        <v>2</v>
      </c>
      <c r="E15" s="49"/>
      <c r="F15" s="49"/>
      <c r="G15" s="49"/>
      <c r="H15" s="49"/>
      <c r="I15" s="11" t="s">
        <v>3</v>
      </c>
      <c r="J15" s="49"/>
      <c r="K15" s="49"/>
      <c r="L15" s="49"/>
      <c r="M15" s="49"/>
      <c r="N15" s="50"/>
      <c r="O15" s="48"/>
      <c r="P15" s="4"/>
      <c r="Q15" s="1"/>
    </row>
    <row r="16" spans="1:17" ht="18.95" customHeight="1">
      <c r="A16" s="1"/>
      <c r="B16" s="14" t="s">
        <v>4</v>
      </c>
      <c r="C16" s="14" t="s">
        <v>5</v>
      </c>
      <c r="D16" s="15"/>
      <c r="E16" s="16"/>
      <c r="F16" s="16"/>
      <c r="G16" s="11" t="s">
        <v>21</v>
      </c>
      <c r="H16" s="28"/>
      <c r="I16" s="15"/>
      <c r="J16" s="16"/>
      <c r="K16" s="16"/>
      <c r="L16" s="20"/>
      <c r="M16" s="20"/>
      <c r="N16" s="14" t="s">
        <v>21</v>
      </c>
      <c r="O16" s="14" t="s">
        <v>22</v>
      </c>
      <c r="P16" s="17"/>
      <c r="Q16" s="1"/>
    </row>
    <row r="17" spans="1:17" ht="18.95" customHeight="1" thickTop="1" thickBot="1">
      <c r="A17" s="1"/>
      <c r="B17" s="18"/>
      <c r="C17" s="19" t="s">
        <v>23</v>
      </c>
      <c r="D17" s="11" t="s">
        <v>24</v>
      </c>
      <c r="E17" s="28"/>
      <c r="F17" s="29" t="s">
        <v>25</v>
      </c>
      <c r="G17" s="30" t="s">
        <v>26</v>
      </c>
      <c r="H17" s="10"/>
      <c r="I17" s="11" t="s">
        <v>24</v>
      </c>
      <c r="J17" s="28"/>
      <c r="K17" s="29" t="s">
        <v>25</v>
      </c>
      <c r="L17" s="11" t="s">
        <v>27</v>
      </c>
      <c r="M17" s="28"/>
      <c r="N17" s="19" t="s">
        <v>26</v>
      </c>
      <c r="O17" s="19" t="s">
        <v>26</v>
      </c>
      <c r="P17" s="17"/>
      <c r="Q17" s="1"/>
    </row>
    <row r="18" spans="1:17" ht="18.95" customHeight="1" thickTop="1" thickBot="1">
      <c r="A18" s="1"/>
      <c r="B18" s="14" t="s">
        <v>28</v>
      </c>
      <c r="C18" s="51">
        <v>209</v>
      </c>
      <c r="D18" s="107">
        <v>132</v>
      </c>
      <c r="E18" s="105"/>
      <c r="F18" s="52">
        <v>77</v>
      </c>
      <c r="G18" s="102">
        <f>IF(C18&lt;&gt;0,F18/(C18/100),0)</f>
        <v>36.842105263157897</v>
      </c>
      <c r="H18" s="103"/>
      <c r="I18" s="107">
        <v>84</v>
      </c>
      <c r="J18" s="105"/>
      <c r="K18" s="57">
        <v>107</v>
      </c>
      <c r="L18" s="108">
        <v>18</v>
      </c>
      <c r="M18" s="103"/>
      <c r="N18" s="97">
        <f>IF(C18&lt;&gt;0,K18/(C18/100),0)</f>
        <v>51.196172248803833</v>
      </c>
      <c r="O18" s="58">
        <f>IF(C18&lt;&gt;0,L18/(C18/100),0)</f>
        <v>8.6124401913875612</v>
      </c>
      <c r="P18" s="17"/>
      <c r="Q18" s="1"/>
    </row>
    <row r="19" spans="1:17" ht="15.75" thickTop="1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  <c r="Q20" s="1"/>
    </row>
    <row r="21" spans="1:17" ht="21.75">
      <c r="A21" s="1"/>
      <c r="B21" s="2" t="s">
        <v>31</v>
      </c>
      <c r="C21" s="3"/>
      <c r="D21" s="3"/>
      <c r="E21" s="3"/>
      <c r="F21" s="3"/>
      <c r="G21" s="4"/>
      <c r="H21" s="46" t="s">
        <v>0</v>
      </c>
      <c r="I21" s="47" t="str">
        <f>$I$2</f>
        <v>II.</v>
      </c>
      <c r="J21" s="3"/>
      <c r="K21" s="4"/>
      <c r="L21" s="4"/>
      <c r="M21" s="7"/>
      <c r="N21" s="46" t="s">
        <v>1</v>
      </c>
      <c r="O21" s="8" t="str">
        <f>$O$2</f>
        <v>2014-15</v>
      </c>
      <c r="P21" s="4"/>
      <c r="Q21" s="1"/>
    </row>
    <row r="22" spans="1:17" ht="15.75" thickBot="1">
      <c r="A22" s="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"/>
      <c r="Q22" s="1"/>
    </row>
    <row r="23" spans="1:17" ht="17.25" thickTop="1" thickBot="1">
      <c r="A23" s="1"/>
      <c r="B23" s="48"/>
      <c r="C23" s="48"/>
      <c r="D23" s="11" t="s">
        <v>2</v>
      </c>
      <c r="E23" s="49"/>
      <c r="F23" s="49"/>
      <c r="G23" s="49"/>
      <c r="H23" s="49"/>
      <c r="I23" s="11" t="s">
        <v>3</v>
      </c>
      <c r="J23" s="49"/>
      <c r="K23" s="49"/>
      <c r="L23" s="49"/>
      <c r="M23" s="49"/>
      <c r="N23" s="50"/>
      <c r="O23" s="48"/>
      <c r="P23" s="4"/>
      <c r="Q23" s="1"/>
    </row>
    <row r="24" spans="1:17" ht="17.25" thickTop="1" thickBot="1">
      <c r="A24" s="1"/>
      <c r="B24" s="14" t="s">
        <v>4</v>
      </c>
      <c r="C24" s="14" t="s">
        <v>5</v>
      </c>
      <c r="D24" s="15"/>
      <c r="E24" s="16"/>
      <c r="F24" s="16"/>
      <c r="G24" s="14" t="s">
        <v>5</v>
      </c>
      <c r="H24" s="14" t="s">
        <v>6</v>
      </c>
      <c r="I24" s="15"/>
      <c r="J24" s="16"/>
      <c r="K24" s="16"/>
      <c r="L24" s="14" t="s">
        <v>5</v>
      </c>
      <c r="M24" s="14" t="s">
        <v>6</v>
      </c>
      <c r="N24" s="14" t="s">
        <v>7</v>
      </c>
      <c r="O24" s="34" t="s">
        <v>6</v>
      </c>
      <c r="P24" s="1"/>
    </row>
    <row r="25" spans="1:17" ht="17.25" thickTop="1" thickBot="1">
      <c r="B25" s="18"/>
      <c r="C25" s="19" t="s">
        <v>8</v>
      </c>
      <c r="D25" s="14" t="s">
        <v>9</v>
      </c>
      <c r="E25" s="20" t="s">
        <v>10</v>
      </c>
      <c r="F25" s="20" t="s">
        <v>11</v>
      </c>
      <c r="G25" s="19" t="s">
        <v>12</v>
      </c>
      <c r="H25" s="19" t="s">
        <v>13</v>
      </c>
      <c r="I25" s="14" t="s">
        <v>9</v>
      </c>
      <c r="J25" s="20" t="s">
        <v>10</v>
      </c>
      <c r="K25" s="20" t="s">
        <v>11</v>
      </c>
      <c r="L25" s="19" t="s">
        <v>12</v>
      </c>
      <c r="M25" s="19" t="s">
        <v>13</v>
      </c>
      <c r="N25" s="19" t="s">
        <v>14</v>
      </c>
      <c r="O25" s="35" t="s">
        <v>13</v>
      </c>
    </row>
    <row r="26" spans="1:17" ht="17.25" thickTop="1" thickBot="1">
      <c r="B26" s="14" t="s">
        <v>15</v>
      </c>
      <c r="C26" s="51">
        <f>27+25+40+5+6+9+11+4+34</f>
        <v>161</v>
      </c>
      <c r="D26" s="51">
        <f>9+4+17+0+2+2+2+1+10</f>
        <v>47</v>
      </c>
      <c r="E26" s="52">
        <f>8+1+0+4+1+0+4+3+5+1+0+0+2+0+0+1+0+0+3+1+0+1+0+0+9+3+2</f>
        <v>49</v>
      </c>
      <c r="F26" s="52">
        <f>1+1+6+0+0+0+2+0</f>
        <v>10</v>
      </c>
      <c r="G26" s="52">
        <f>SUM(E26:F26)</f>
        <v>59</v>
      </c>
      <c r="H26" s="53">
        <f t="shared" ref="H26:H31" si="3">IF(C26&lt;&gt;0,G26/(C26/100),0)</f>
        <v>36.645962732919251</v>
      </c>
      <c r="I26" s="51">
        <f>7+8+11+1+1+2+3+1+11</f>
        <v>45</v>
      </c>
      <c r="J26" s="52">
        <f>5+6+4+0+6+9+2+1+0+0+0+3+1+3+1+1+3+1+0+2+0+0+10+1+3</f>
        <v>62</v>
      </c>
      <c r="K26" s="52">
        <f>2+1+9+1+1+0+2+0+5</f>
        <v>21</v>
      </c>
      <c r="L26" s="52">
        <f>SUM(J26:K26)</f>
        <v>83</v>
      </c>
      <c r="M26" s="53">
        <f t="shared" ref="M26:M31" si="4">IF(C26&lt;&gt;0,L26/(C26/100),0)</f>
        <v>51.552795031055901</v>
      </c>
      <c r="N26" s="51">
        <f>L26-G26</f>
        <v>24</v>
      </c>
      <c r="O26" s="59">
        <f t="shared" ref="O26:O31" si="5">IF(C26&lt;&gt;0,N26/(C26/100),0)</f>
        <v>14.906832298136646</v>
      </c>
    </row>
    <row r="27" spans="1:17" ht="17.25" thickTop="1" thickBot="1">
      <c r="B27" s="14" t="s">
        <v>16</v>
      </c>
      <c r="C27" s="51">
        <f>7+0+14+5+5+0+0+3+12</f>
        <v>46</v>
      </c>
      <c r="D27" s="54">
        <f>0+0+2+0+0+0+0+0+3</f>
        <v>5</v>
      </c>
      <c r="E27" s="55">
        <f>0+1+2+0+0+0+3+1+3+0+1+1+0+0+3+0+0+0+0+0+0+0+0+0+2+2+2</f>
        <v>21</v>
      </c>
      <c r="F27" s="55">
        <f>4+0+5+0+2+0+0+2+1</f>
        <v>14</v>
      </c>
      <c r="G27" s="55">
        <f>SUM(E27:F27)</f>
        <v>35</v>
      </c>
      <c r="H27" s="56">
        <f t="shared" si="3"/>
        <v>76.086956521739125</v>
      </c>
      <c r="I27" s="54">
        <f>0+0+1+0+0+0+0+0+0</f>
        <v>1</v>
      </c>
      <c r="J27" s="55">
        <f>0+0+2+0+2+0+6+0+0+0+3+0+0+0+3</f>
        <v>16</v>
      </c>
      <c r="K27" s="55">
        <f>5+0+5+4+1+2+0+0+2+1</f>
        <v>20</v>
      </c>
      <c r="L27" s="55">
        <f>SUM(J27:K27)</f>
        <v>36</v>
      </c>
      <c r="M27" s="56">
        <f t="shared" si="4"/>
        <v>78.260869565217391</v>
      </c>
      <c r="N27" s="54">
        <f>L27-G27</f>
        <v>1</v>
      </c>
      <c r="O27" s="60">
        <f t="shared" si="5"/>
        <v>2.1739130434782608</v>
      </c>
    </row>
    <row r="28" spans="1:17" ht="17.25" thickTop="1" thickBot="1">
      <c r="B28" s="14" t="s">
        <v>17</v>
      </c>
      <c r="C28" s="51">
        <f>0+2+0+0+1+0+0+0+2</f>
        <v>5</v>
      </c>
      <c r="D28" s="54">
        <f>0+0+0+0+0+0+0+0+1</f>
        <v>1</v>
      </c>
      <c r="E28" s="55">
        <f>0+0+2</f>
        <v>2</v>
      </c>
      <c r="F28" s="55">
        <f>2+1</f>
        <v>3</v>
      </c>
      <c r="G28" s="55">
        <f>SUM(E28:F28)</f>
        <v>5</v>
      </c>
      <c r="H28" s="56">
        <f t="shared" si="3"/>
        <v>100</v>
      </c>
      <c r="I28" s="54">
        <v>0</v>
      </c>
      <c r="J28" s="55">
        <f>0+0+0+1</f>
        <v>1</v>
      </c>
      <c r="K28" s="55">
        <f>2+0+1+1</f>
        <v>4</v>
      </c>
      <c r="L28" s="55">
        <f>SUM(J28:K28)</f>
        <v>5</v>
      </c>
      <c r="M28" s="56">
        <f t="shared" si="4"/>
        <v>100</v>
      </c>
      <c r="N28" s="54">
        <f>L28-G28</f>
        <v>0</v>
      </c>
      <c r="O28" s="60">
        <f t="shared" si="5"/>
        <v>0</v>
      </c>
    </row>
    <row r="29" spans="1:17" ht="17.25" thickTop="1" thickBot="1">
      <c r="B29" s="14" t="s">
        <v>18</v>
      </c>
      <c r="C29" s="51">
        <f>5</f>
        <v>5</v>
      </c>
      <c r="D29" s="54">
        <f>0</f>
        <v>0</v>
      </c>
      <c r="E29" s="55">
        <f>0</f>
        <v>0</v>
      </c>
      <c r="F29" s="55">
        <f>5</f>
        <v>5</v>
      </c>
      <c r="G29" s="55">
        <f>SUM(E29:F29)</f>
        <v>5</v>
      </c>
      <c r="H29" s="56">
        <f t="shared" si="3"/>
        <v>100</v>
      </c>
      <c r="I29" s="54">
        <v>0</v>
      </c>
      <c r="J29" s="55">
        <f>0+0+0</f>
        <v>0</v>
      </c>
      <c r="K29" s="55">
        <v>5</v>
      </c>
      <c r="L29" s="55">
        <f>SUM(J29:K29)</f>
        <v>5</v>
      </c>
      <c r="M29" s="56">
        <f t="shared" si="4"/>
        <v>100</v>
      </c>
      <c r="N29" s="54">
        <f>L29-G29</f>
        <v>0</v>
      </c>
      <c r="O29" s="60">
        <f t="shared" si="5"/>
        <v>0</v>
      </c>
    </row>
    <row r="30" spans="1:17" ht="17.25" thickTop="1" thickBot="1">
      <c r="B30" s="14" t="s">
        <v>19</v>
      </c>
      <c r="C30" s="51">
        <v>0</v>
      </c>
      <c r="D30" s="54">
        <v>0</v>
      </c>
      <c r="E30" s="55">
        <v>0</v>
      </c>
      <c r="F30" s="55">
        <v>0</v>
      </c>
      <c r="G30" s="55">
        <f>SUM(E30:F30)</f>
        <v>0</v>
      </c>
      <c r="H30" s="56">
        <f t="shared" si="3"/>
        <v>0</v>
      </c>
      <c r="I30" s="54"/>
      <c r="J30" s="55"/>
      <c r="K30" s="55"/>
      <c r="L30" s="55">
        <f>SUM(J30:K30)</f>
        <v>0</v>
      </c>
      <c r="M30" s="56">
        <f t="shared" si="4"/>
        <v>0</v>
      </c>
      <c r="N30" s="54">
        <f>L30-G30</f>
        <v>0</v>
      </c>
      <c r="O30" s="60">
        <f t="shared" si="5"/>
        <v>0</v>
      </c>
    </row>
    <row r="31" spans="1:17" ht="17.25" thickTop="1" thickBot="1">
      <c r="B31" s="36" t="s">
        <v>20</v>
      </c>
      <c r="C31" s="61">
        <f>SUM(C26:C30)</f>
        <v>217</v>
      </c>
      <c r="D31" s="61">
        <f>SUM(D26:D30)</f>
        <v>53</v>
      </c>
      <c r="E31" s="62">
        <f>SUM(E26:E30)</f>
        <v>72</v>
      </c>
      <c r="F31" s="62">
        <f>SUM(F26:F30)</f>
        <v>32</v>
      </c>
      <c r="G31" s="62">
        <f>SUM(G26:G30)</f>
        <v>104</v>
      </c>
      <c r="H31" s="63">
        <f t="shared" si="3"/>
        <v>47.926267281105993</v>
      </c>
      <c r="I31" s="61">
        <f>SUM(I26:I30)</f>
        <v>46</v>
      </c>
      <c r="J31" s="62">
        <f>SUM(J26:J30)</f>
        <v>79</v>
      </c>
      <c r="K31" s="62">
        <f>SUM(K26:K30)</f>
        <v>50</v>
      </c>
      <c r="L31" s="62">
        <f>SUM(L26:L30)</f>
        <v>129</v>
      </c>
      <c r="M31" s="63">
        <f t="shared" si="4"/>
        <v>59.447004608294932</v>
      </c>
      <c r="N31" s="61">
        <f>SUM(N26:N30)</f>
        <v>25</v>
      </c>
      <c r="O31" s="64">
        <f t="shared" si="5"/>
        <v>11.520737327188941</v>
      </c>
    </row>
    <row r="32" spans="1:17" ht="15.75" thickTop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5.75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7.25" thickTop="1" thickBot="1">
      <c r="B34" s="48"/>
      <c r="C34" s="48"/>
      <c r="D34" s="11" t="s">
        <v>2</v>
      </c>
      <c r="E34" s="49"/>
      <c r="F34" s="49"/>
      <c r="G34" s="49"/>
      <c r="H34" s="49"/>
      <c r="I34" s="11" t="s">
        <v>3</v>
      </c>
      <c r="J34" s="49"/>
      <c r="K34" s="49"/>
      <c r="L34" s="49"/>
      <c r="M34" s="49"/>
      <c r="N34" s="50"/>
      <c r="O34" s="48"/>
    </row>
    <row r="35" spans="2:15" ht="17.25" thickTop="1" thickBot="1">
      <c r="B35" s="14" t="s">
        <v>4</v>
      </c>
      <c r="C35" s="14" t="s">
        <v>5</v>
      </c>
      <c r="D35" s="15"/>
      <c r="E35" s="16"/>
      <c r="F35" s="16"/>
      <c r="G35" s="11" t="s">
        <v>21</v>
      </c>
      <c r="H35" s="28"/>
      <c r="I35" s="15"/>
      <c r="J35" s="16"/>
      <c r="K35" s="16"/>
      <c r="L35" s="20"/>
      <c r="M35" s="20"/>
      <c r="N35" s="14" t="s">
        <v>21</v>
      </c>
      <c r="O35" s="34" t="s">
        <v>22</v>
      </c>
    </row>
    <row r="36" spans="2:15" ht="17.25" thickTop="1" thickBot="1">
      <c r="B36" s="18"/>
      <c r="C36" s="19" t="s">
        <v>23</v>
      </c>
      <c r="D36" s="11" t="s">
        <v>24</v>
      </c>
      <c r="E36" s="28"/>
      <c r="F36" s="29" t="s">
        <v>25</v>
      </c>
      <c r="G36" s="30" t="s">
        <v>26</v>
      </c>
      <c r="H36" s="10"/>
      <c r="I36" s="11" t="s">
        <v>24</v>
      </c>
      <c r="J36" s="28"/>
      <c r="K36" s="29" t="s">
        <v>25</v>
      </c>
      <c r="L36" s="11" t="s">
        <v>27</v>
      </c>
      <c r="M36" s="28"/>
      <c r="N36" s="19" t="s">
        <v>26</v>
      </c>
      <c r="O36" s="35" t="s">
        <v>26</v>
      </c>
    </row>
    <row r="37" spans="2:15" ht="17.25" thickTop="1" thickBot="1">
      <c r="B37" s="36" t="s">
        <v>28</v>
      </c>
      <c r="C37" s="61">
        <v>323</v>
      </c>
      <c r="D37" s="107">
        <v>121</v>
      </c>
      <c r="E37" s="105"/>
      <c r="F37" s="62">
        <v>199</v>
      </c>
      <c r="G37" s="102">
        <f>IF(C37&lt;&gt;0,F37/(C37/100),0)</f>
        <v>61.609907120743031</v>
      </c>
      <c r="H37" s="103"/>
      <c r="I37" s="107">
        <v>93</v>
      </c>
      <c r="J37" s="105"/>
      <c r="K37" s="65">
        <v>127</v>
      </c>
      <c r="L37" s="109">
        <v>103</v>
      </c>
      <c r="M37" s="103"/>
      <c r="N37" s="98">
        <f>IF(C37&lt;&gt;0,K37/(C37/100),0)</f>
        <v>39.318885448916411</v>
      </c>
      <c r="O37" s="66">
        <f>IF(C37&lt;&gt;0,L37/(C37/100),0)</f>
        <v>31.888544891640866</v>
      </c>
    </row>
    <row r="38" spans="2:15" ht="15.75" thickTop="1"/>
    <row r="42" spans="2:15" ht="23.25">
      <c r="B42" s="45" t="s">
        <v>34</v>
      </c>
    </row>
    <row r="43" spans="2:15" ht="15.75" thickBot="1"/>
    <row r="44" spans="2:15" ht="24" thickTop="1">
      <c r="B44" s="37" t="s">
        <v>39</v>
      </c>
      <c r="C44" s="38"/>
      <c r="D44" s="38"/>
      <c r="E44" s="38"/>
      <c r="F44" s="43"/>
      <c r="G44" s="39">
        <f>C12+C31</f>
        <v>1160</v>
      </c>
    </row>
    <row r="45" spans="2:15" ht="24" thickBot="1">
      <c r="B45" s="40" t="s">
        <v>40</v>
      </c>
      <c r="C45" s="41"/>
      <c r="D45" s="41"/>
      <c r="E45" s="41"/>
      <c r="F45" s="44"/>
      <c r="G45" s="42">
        <f>C18+C37</f>
        <v>532</v>
      </c>
    </row>
    <row r="46" spans="2:15" ht="15.75" thickTop="1"/>
  </sheetData>
  <mergeCells count="8">
    <mergeCell ref="D18:E18"/>
    <mergeCell ref="G18:H18"/>
    <mergeCell ref="I18:J18"/>
    <mergeCell ref="L18:M18"/>
    <mergeCell ref="D37:E37"/>
    <mergeCell ref="G37:H37"/>
    <mergeCell ref="I37:J37"/>
    <mergeCell ref="L37:M37"/>
  </mergeCells>
  <phoneticPr fontId="11" type="noConversion"/>
  <printOptions horizontalCentered="1" verticalCentered="1"/>
  <pageMargins left="0.27559055118110237" right="0.27559055118110237" top="0.51181102362204722" bottom="0.51181102362204722" header="0.51181102362204722" footer="0.51181102362204722"/>
  <pageSetup paperSize="9" scale="68" orientation="portrait" r:id="rId1"/>
  <headerFooter alignWithMargins="0">
    <oddHeader>&amp;L&amp;"Times New Roman,Tučné"&amp;24Vyhodnocení plavecké výuky škol. roku 2012/2013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46"/>
  <sheetViews>
    <sheetView showOutlineSymbols="0" topLeftCell="A19" zoomScale="87" zoomScaleNormal="87" workbookViewId="0">
      <selection activeCell="L37" sqref="L37:M37"/>
    </sheetView>
  </sheetViews>
  <sheetFormatPr defaultColWidth="9.6640625" defaultRowHeight="15"/>
  <cols>
    <col min="1" max="1" width="2.6640625" customWidth="1"/>
    <col min="2" max="2" width="8.6640625" customWidth="1"/>
    <col min="3" max="6" width="7.6640625" customWidth="1"/>
    <col min="7" max="8" width="8.6640625" customWidth="1"/>
    <col min="9" max="11" width="7.6640625" customWidth="1"/>
    <col min="12" max="13" width="8.6640625" customWidth="1"/>
    <col min="14" max="15" width="9.6640625" customWidth="1"/>
    <col min="16" max="16" width="2.6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1" customHeight="1">
      <c r="A2" s="1"/>
      <c r="B2" s="2" t="s">
        <v>30</v>
      </c>
      <c r="C2" s="3"/>
      <c r="D2" s="3"/>
      <c r="E2" s="3"/>
      <c r="F2" s="3"/>
      <c r="G2" s="4"/>
      <c r="H2" s="46" t="s">
        <v>0</v>
      </c>
      <c r="I2" s="47" t="s">
        <v>36</v>
      </c>
      <c r="J2" s="3"/>
      <c r="K2" s="4"/>
      <c r="L2" s="4"/>
      <c r="M2" s="7"/>
      <c r="N2" s="46" t="s">
        <v>1</v>
      </c>
      <c r="O2" s="8" t="str">
        <f>'VYHODNOCENí I.'!$O$2</f>
        <v>2014-15</v>
      </c>
      <c r="P2" s="4"/>
      <c r="Q2" s="1"/>
    </row>
    <row r="3" spans="1:17" ht="20.100000000000001" customHeight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"/>
      <c r="Q3" s="1"/>
    </row>
    <row r="4" spans="1:17" ht="18.95" customHeight="1">
      <c r="A4" s="1"/>
      <c r="B4" s="48"/>
      <c r="C4" s="48"/>
      <c r="D4" s="11" t="s">
        <v>2</v>
      </c>
      <c r="E4" s="49"/>
      <c r="F4" s="49"/>
      <c r="G4" s="49"/>
      <c r="H4" s="49"/>
      <c r="I4" s="11" t="s">
        <v>3</v>
      </c>
      <c r="J4" s="49"/>
      <c r="K4" s="49"/>
      <c r="L4" s="49"/>
      <c r="M4" s="49"/>
      <c r="N4" s="50"/>
      <c r="O4" s="48"/>
      <c r="P4" s="4"/>
      <c r="Q4" s="1"/>
    </row>
    <row r="5" spans="1:17" ht="18.95" customHeight="1">
      <c r="A5" s="1"/>
      <c r="B5" s="14" t="s">
        <v>4</v>
      </c>
      <c r="C5" s="14" t="s">
        <v>5</v>
      </c>
      <c r="D5" s="15"/>
      <c r="E5" s="16"/>
      <c r="F5" s="16"/>
      <c r="G5" s="14" t="s">
        <v>5</v>
      </c>
      <c r="H5" s="14" t="s">
        <v>6</v>
      </c>
      <c r="I5" s="15"/>
      <c r="J5" s="16"/>
      <c r="K5" s="16"/>
      <c r="L5" s="14" t="s">
        <v>5</v>
      </c>
      <c r="M5" s="14" t="s">
        <v>6</v>
      </c>
      <c r="N5" s="14" t="s">
        <v>7</v>
      </c>
      <c r="O5" s="14" t="s">
        <v>6</v>
      </c>
      <c r="P5" s="17"/>
      <c r="Q5" s="1"/>
    </row>
    <row r="6" spans="1:17" ht="18.95" customHeight="1">
      <c r="A6" s="1"/>
      <c r="B6" s="18"/>
      <c r="C6" s="19" t="s">
        <v>8</v>
      </c>
      <c r="D6" s="14" t="s">
        <v>9</v>
      </c>
      <c r="E6" s="20" t="s">
        <v>10</v>
      </c>
      <c r="F6" s="20" t="s">
        <v>11</v>
      </c>
      <c r="G6" s="19" t="s">
        <v>12</v>
      </c>
      <c r="H6" s="19" t="s">
        <v>13</v>
      </c>
      <c r="I6" s="14" t="s">
        <v>9</v>
      </c>
      <c r="J6" s="20" t="s">
        <v>10</v>
      </c>
      <c r="K6" s="20" t="s">
        <v>11</v>
      </c>
      <c r="L6" s="19" t="s">
        <v>12</v>
      </c>
      <c r="M6" s="19" t="s">
        <v>13</v>
      </c>
      <c r="N6" s="19" t="s">
        <v>14</v>
      </c>
      <c r="O6" s="19" t="s">
        <v>13</v>
      </c>
      <c r="P6" s="17"/>
      <c r="Q6" s="1"/>
    </row>
    <row r="7" spans="1:17" ht="18.95" customHeight="1">
      <c r="A7" s="1"/>
      <c r="B7" s="14" t="s">
        <v>15</v>
      </c>
      <c r="C7" s="51">
        <v>131</v>
      </c>
      <c r="D7" s="51">
        <v>12</v>
      </c>
      <c r="E7" s="52">
        <v>11</v>
      </c>
      <c r="F7" s="52">
        <v>1</v>
      </c>
      <c r="G7" s="52">
        <f>SUM(E7:F7)</f>
        <v>12</v>
      </c>
      <c r="H7" s="53">
        <f t="shared" ref="H7:H12" si="0">IF(C7&lt;&gt;0,G7/(C7/100),0)</f>
        <v>9.1603053435114496</v>
      </c>
      <c r="I7" s="51">
        <v>29</v>
      </c>
      <c r="J7" s="52">
        <v>40</v>
      </c>
      <c r="K7" s="52">
        <v>5</v>
      </c>
      <c r="L7" s="52">
        <f>SUM(J7:K7)</f>
        <v>45</v>
      </c>
      <c r="M7" s="53">
        <f t="shared" ref="M7:M12" si="1">IF(C7&lt;&gt;0,L7/(C7/100),0)</f>
        <v>34.351145038167935</v>
      </c>
      <c r="N7" s="51">
        <f>L7-G7</f>
        <v>33</v>
      </c>
      <c r="O7" s="53">
        <f t="shared" ref="O7:O12" si="2">IF(C7&lt;&gt;0,N7/(C7/100),0)</f>
        <v>25.190839694656489</v>
      </c>
      <c r="P7" s="17"/>
      <c r="Q7" s="1"/>
    </row>
    <row r="8" spans="1:17" ht="18.95" customHeight="1">
      <c r="A8" s="1"/>
      <c r="B8" s="14" t="s">
        <v>16</v>
      </c>
      <c r="C8" s="51">
        <v>274</v>
      </c>
      <c r="D8" s="54">
        <v>41</v>
      </c>
      <c r="E8" s="55">
        <v>81</v>
      </c>
      <c r="F8" s="55">
        <v>9</v>
      </c>
      <c r="G8" s="55">
        <f>SUM(E8:F8)</f>
        <v>90</v>
      </c>
      <c r="H8" s="56">
        <f t="shared" si="0"/>
        <v>32.846715328467148</v>
      </c>
      <c r="I8" s="54">
        <v>49</v>
      </c>
      <c r="J8" s="55">
        <v>118</v>
      </c>
      <c r="K8" s="55">
        <v>50</v>
      </c>
      <c r="L8" s="55">
        <f>SUM(J8:K8)</f>
        <v>168</v>
      </c>
      <c r="M8" s="56">
        <f t="shared" si="1"/>
        <v>61.313868613138681</v>
      </c>
      <c r="N8" s="54">
        <f>L8-G8</f>
        <v>78</v>
      </c>
      <c r="O8" s="56">
        <f t="shared" si="2"/>
        <v>28.467153284671532</v>
      </c>
      <c r="P8" s="17"/>
      <c r="Q8" s="1"/>
    </row>
    <row r="9" spans="1:17" ht="18.95" customHeight="1">
      <c r="A9" s="1"/>
      <c r="B9" s="14" t="s">
        <v>17</v>
      </c>
      <c r="C9" s="51">
        <v>316</v>
      </c>
      <c r="D9" s="54">
        <v>43</v>
      </c>
      <c r="E9" s="55">
        <v>129</v>
      </c>
      <c r="F9" s="55">
        <v>53</v>
      </c>
      <c r="G9" s="55">
        <f>SUM(E9:F9)</f>
        <v>182</v>
      </c>
      <c r="H9" s="56">
        <f t="shared" si="0"/>
        <v>57.594936708860757</v>
      </c>
      <c r="I9" s="54">
        <v>40</v>
      </c>
      <c r="J9" s="55">
        <v>126</v>
      </c>
      <c r="K9" s="55">
        <v>127</v>
      </c>
      <c r="L9" s="55">
        <f>SUM(J9:K9)</f>
        <v>253</v>
      </c>
      <c r="M9" s="56">
        <f t="shared" si="1"/>
        <v>80.063291139240505</v>
      </c>
      <c r="N9" s="54">
        <f>L9-G9</f>
        <v>71</v>
      </c>
      <c r="O9" s="56">
        <f t="shared" si="2"/>
        <v>22.468354430379748</v>
      </c>
      <c r="P9" s="17"/>
      <c r="Q9" s="1"/>
    </row>
    <row r="10" spans="1:17" ht="18.95" customHeight="1">
      <c r="A10" s="1"/>
      <c r="B10" s="14" t="s">
        <v>18</v>
      </c>
      <c r="C10" s="51">
        <v>225</v>
      </c>
      <c r="D10" s="54">
        <v>18</v>
      </c>
      <c r="E10" s="55">
        <v>102</v>
      </c>
      <c r="F10" s="55">
        <v>77</v>
      </c>
      <c r="G10" s="55">
        <f>SUM(E10:F10)</f>
        <v>179</v>
      </c>
      <c r="H10" s="56">
        <f t="shared" si="0"/>
        <v>79.555555555555557</v>
      </c>
      <c r="I10" s="54">
        <v>15</v>
      </c>
      <c r="J10" s="55">
        <v>63</v>
      </c>
      <c r="K10" s="55">
        <v>140</v>
      </c>
      <c r="L10" s="55">
        <f>SUM(J10:K10)</f>
        <v>203</v>
      </c>
      <c r="M10" s="56">
        <f t="shared" si="1"/>
        <v>90.222222222222229</v>
      </c>
      <c r="N10" s="54">
        <f>L10-G10</f>
        <v>24</v>
      </c>
      <c r="O10" s="56">
        <f t="shared" si="2"/>
        <v>10.666666666666666</v>
      </c>
      <c r="P10" s="17"/>
      <c r="Q10" s="1"/>
    </row>
    <row r="11" spans="1:17" ht="18.95" customHeight="1">
      <c r="A11" s="1"/>
      <c r="B11" s="14" t="s">
        <v>19</v>
      </c>
      <c r="C11" s="51">
        <v>27</v>
      </c>
      <c r="D11" s="54">
        <v>1</v>
      </c>
      <c r="E11" s="55">
        <v>11</v>
      </c>
      <c r="F11" s="55">
        <v>14</v>
      </c>
      <c r="G11" s="55">
        <f>SUM(E11:F11)</f>
        <v>25</v>
      </c>
      <c r="H11" s="56">
        <f t="shared" si="0"/>
        <v>92.592592592592581</v>
      </c>
      <c r="I11" s="54">
        <v>0</v>
      </c>
      <c r="J11" s="55">
        <v>7</v>
      </c>
      <c r="K11" s="55">
        <v>20</v>
      </c>
      <c r="L11" s="55">
        <f>SUM(J11:K11)</f>
        <v>27</v>
      </c>
      <c r="M11" s="56">
        <f t="shared" si="1"/>
        <v>100</v>
      </c>
      <c r="N11" s="54">
        <f>L11-G11</f>
        <v>2</v>
      </c>
      <c r="O11" s="56">
        <f t="shared" si="2"/>
        <v>7.4074074074074066</v>
      </c>
      <c r="P11" s="17"/>
      <c r="Q11" s="1"/>
    </row>
    <row r="12" spans="1:17" ht="18.95" customHeight="1">
      <c r="A12" s="1"/>
      <c r="B12" s="14" t="s">
        <v>20</v>
      </c>
      <c r="C12" s="51">
        <f>SUM(C7:C11)</f>
        <v>973</v>
      </c>
      <c r="D12" s="51">
        <f>SUM(D7:D11)</f>
        <v>115</v>
      </c>
      <c r="E12" s="52">
        <f>SUM(E7:E11)</f>
        <v>334</v>
      </c>
      <c r="F12" s="52">
        <f>SUM(F7:F11)</f>
        <v>154</v>
      </c>
      <c r="G12" s="52">
        <f>SUM(G7:G11)</f>
        <v>488</v>
      </c>
      <c r="H12" s="53">
        <f t="shared" si="0"/>
        <v>50.154162384378211</v>
      </c>
      <c r="I12" s="51">
        <f>SUM(I7:I11)</f>
        <v>133</v>
      </c>
      <c r="J12" s="52">
        <f>SUM(J7:J11)</f>
        <v>354</v>
      </c>
      <c r="K12" s="52">
        <f>SUM(K7:K11)</f>
        <v>342</v>
      </c>
      <c r="L12" s="52">
        <f>SUM(L7:L11)</f>
        <v>696</v>
      </c>
      <c r="M12" s="53">
        <f t="shared" si="1"/>
        <v>71.531346351490228</v>
      </c>
      <c r="N12" s="51">
        <f>SUM(N7:N11)</f>
        <v>208</v>
      </c>
      <c r="O12" s="53">
        <f t="shared" si="2"/>
        <v>21.377183967112025</v>
      </c>
      <c r="P12" s="17"/>
      <c r="Q12" s="1"/>
    </row>
    <row r="13" spans="1:17" ht="18.9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  <c r="Q13" s="1"/>
    </row>
    <row r="14" spans="1:17" ht="18.9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</row>
    <row r="15" spans="1:17" ht="18.95" customHeight="1">
      <c r="A15" s="1"/>
      <c r="B15" s="48"/>
      <c r="C15" s="48"/>
      <c r="D15" s="11" t="s">
        <v>2</v>
      </c>
      <c r="E15" s="49"/>
      <c r="F15" s="49"/>
      <c r="G15" s="49"/>
      <c r="H15" s="49"/>
      <c r="I15" s="11" t="s">
        <v>3</v>
      </c>
      <c r="J15" s="49"/>
      <c r="K15" s="49"/>
      <c r="L15" s="49"/>
      <c r="M15" s="49"/>
      <c r="N15" s="50"/>
      <c r="O15" s="48"/>
      <c r="P15" s="4"/>
      <c r="Q15" s="1"/>
    </row>
    <row r="16" spans="1:17" ht="18.95" customHeight="1">
      <c r="A16" s="1"/>
      <c r="B16" s="14" t="s">
        <v>4</v>
      </c>
      <c r="C16" s="14" t="s">
        <v>5</v>
      </c>
      <c r="D16" s="15"/>
      <c r="E16" s="16"/>
      <c r="F16" s="16"/>
      <c r="G16" s="11" t="s">
        <v>21</v>
      </c>
      <c r="H16" s="28"/>
      <c r="I16" s="15"/>
      <c r="J16" s="16"/>
      <c r="K16" s="16"/>
      <c r="L16" s="20"/>
      <c r="M16" s="20"/>
      <c r="N16" s="14" t="s">
        <v>21</v>
      </c>
      <c r="O16" s="14" t="s">
        <v>22</v>
      </c>
      <c r="P16" s="17"/>
      <c r="Q16" s="1"/>
    </row>
    <row r="17" spans="1:17" ht="18.95" customHeight="1" thickTop="1" thickBot="1">
      <c r="A17" s="1"/>
      <c r="B17" s="18"/>
      <c r="C17" s="19" t="s">
        <v>23</v>
      </c>
      <c r="D17" s="11" t="s">
        <v>24</v>
      </c>
      <c r="E17" s="28"/>
      <c r="F17" s="29" t="s">
        <v>25</v>
      </c>
      <c r="G17" s="30" t="s">
        <v>26</v>
      </c>
      <c r="H17" s="10"/>
      <c r="I17" s="11" t="s">
        <v>24</v>
      </c>
      <c r="J17" s="28"/>
      <c r="K17" s="29" t="s">
        <v>25</v>
      </c>
      <c r="L17" s="11" t="s">
        <v>27</v>
      </c>
      <c r="M17" s="28"/>
      <c r="N17" s="19" t="s">
        <v>26</v>
      </c>
      <c r="O17" s="19" t="s">
        <v>26</v>
      </c>
      <c r="P17" s="17"/>
      <c r="Q17" s="1"/>
    </row>
    <row r="18" spans="1:17" ht="18.95" customHeight="1" thickTop="1" thickBot="1">
      <c r="A18" s="1"/>
      <c r="B18" s="14" t="s">
        <v>28</v>
      </c>
      <c r="C18" s="51">
        <v>231</v>
      </c>
      <c r="D18" s="107">
        <v>145</v>
      </c>
      <c r="E18" s="105"/>
      <c r="F18" s="52">
        <v>86</v>
      </c>
      <c r="G18" s="102">
        <f>IF(C18&lt;&gt;0,F18/(C18/100),0)</f>
        <v>37.229437229437231</v>
      </c>
      <c r="H18" s="103"/>
      <c r="I18" s="107">
        <v>76</v>
      </c>
      <c r="J18" s="105"/>
      <c r="K18" s="57">
        <v>125</v>
      </c>
      <c r="L18" s="109">
        <v>30</v>
      </c>
      <c r="M18" s="103"/>
      <c r="N18" s="97">
        <f>IF(C18&lt;&gt;0,K18/(C18/100),0)</f>
        <v>54.112554112554115</v>
      </c>
      <c r="O18" s="58">
        <f>IF(C18&lt;&gt;0,L18/(C18/100),0)</f>
        <v>12.987012987012987</v>
      </c>
      <c r="P18" s="17"/>
      <c r="Q18" s="1"/>
    </row>
    <row r="19" spans="1:17" ht="15.75" thickTop="1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  <c r="Q20" s="1"/>
    </row>
    <row r="21" spans="1:17" ht="21.75">
      <c r="A21" s="1"/>
      <c r="B21" s="2" t="s">
        <v>31</v>
      </c>
      <c r="C21" s="3"/>
      <c r="D21" s="3"/>
      <c r="E21" s="3"/>
      <c r="F21" s="3"/>
      <c r="G21" s="4"/>
      <c r="H21" s="46" t="s">
        <v>0</v>
      </c>
      <c r="I21" s="47" t="str">
        <f>$I$2</f>
        <v>III.</v>
      </c>
      <c r="J21" s="3"/>
      <c r="K21" s="4"/>
      <c r="L21" s="4"/>
      <c r="M21" s="7"/>
      <c r="N21" s="46" t="s">
        <v>1</v>
      </c>
      <c r="O21" s="8" t="str">
        <f>'VYHODNOCENí II.'!$O$2</f>
        <v>2014-15</v>
      </c>
      <c r="P21" s="4"/>
      <c r="Q21" s="1"/>
    </row>
    <row r="22" spans="1:17" ht="15.75" thickBot="1">
      <c r="A22" s="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"/>
      <c r="Q22" s="1"/>
    </row>
    <row r="23" spans="1:17" ht="17.25" thickTop="1" thickBot="1">
      <c r="A23" s="1"/>
      <c r="B23" s="48"/>
      <c r="C23" s="48"/>
      <c r="D23" s="11" t="s">
        <v>2</v>
      </c>
      <c r="E23" s="49"/>
      <c r="F23" s="49"/>
      <c r="G23" s="49"/>
      <c r="H23" s="49"/>
      <c r="I23" s="11" t="s">
        <v>3</v>
      </c>
      <c r="J23" s="49"/>
      <c r="K23" s="49"/>
      <c r="L23" s="49"/>
      <c r="M23" s="49"/>
      <c r="N23" s="50"/>
      <c r="O23" s="48"/>
      <c r="P23" s="4"/>
      <c r="Q23" s="1"/>
    </row>
    <row r="24" spans="1:17" ht="17.25" thickTop="1" thickBot="1">
      <c r="A24" s="1"/>
      <c r="B24" s="14" t="s">
        <v>4</v>
      </c>
      <c r="C24" s="14" t="s">
        <v>5</v>
      </c>
      <c r="D24" s="15"/>
      <c r="E24" s="16"/>
      <c r="F24" s="16"/>
      <c r="G24" s="14" t="s">
        <v>5</v>
      </c>
      <c r="H24" s="14" t="s">
        <v>6</v>
      </c>
      <c r="I24" s="15"/>
      <c r="J24" s="16"/>
      <c r="K24" s="16"/>
      <c r="L24" s="14" t="s">
        <v>5</v>
      </c>
      <c r="M24" s="14" t="s">
        <v>6</v>
      </c>
      <c r="N24" s="14" t="s">
        <v>7</v>
      </c>
      <c r="O24" s="34" t="s">
        <v>6</v>
      </c>
      <c r="P24" s="1"/>
    </row>
    <row r="25" spans="1:17" ht="17.25" thickTop="1" thickBot="1">
      <c r="B25" s="18"/>
      <c r="C25" s="19" t="s">
        <v>8</v>
      </c>
      <c r="D25" s="14" t="s">
        <v>9</v>
      </c>
      <c r="E25" s="20" t="s">
        <v>10</v>
      </c>
      <c r="F25" s="20" t="s">
        <v>11</v>
      </c>
      <c r="G25" s="19" t="s">
        <v>12</v>
      </c>
      <c r="H25" s="19" t="s">
        <v>13</v>
      </c>
      <c r="I25" s="14" t="s">
        <v>9</v>
      </c>
      <c r="J25" s="20" t="s">
        <v>10</v>
      </c>
      <c r="K25" s="20" t="s">
        <v>11</v>
      </c>
      <c r="L25" s="19" t="s">
        <v>12</v>
      </c>
      <c r="M25" s="19" t="s">
        <v>13</v>
      </c>
      <c r="N25" s="19" t="s">
        <v>14</v>
      </c>
      <c r="O25" s="35" t="s">
        <v>13</v>
      </c>
    </row>
    <row r="26" spans="1:17" ht="17.25" thickTop="1" thickBot="1">
      <c r="B26" s="14" t="s">
        <v>15</v>
      </c>
      <c r="C26" s="51">
        <f>5+6+3+12+31+26+9+26+21</f>
        <v>139</v>
      </c>
      <c r="D26" s="51">
        <f>1+1+1+3+9+9+2+7+6</f>
        <v>39</v>
      </c>
      <c r="E26" s="52">
        <f>3+3+1+5+12+10+2+8+12</f>
        <v>56</v>
      </c>
      <c r="F26" s="52">
        <f>2+8+5+1+2</f>
        <v>18</v>
      </c>
      <c r="G26" s="52">
        <f>SUM(E26:F26)</f>
        <v>74</v>
      </c>
      <c r="H26" s="53">
        <f t="shared" ref="H26:H31" si="3">IF(C26&lt;&gt;0,G26/(C26/100),0)</f>
        <v>53.237410071942449</v>
      </c>
      <c r="I26" s="51">
        <f>5+4+8+2</f>
        <v>19</v>
      </c>
      <c r="J26" s="52">
        <f>5+5+1+7+17+13+7+6+13</f>
        <v>74</v>
      </c>
      <c r="K26" s="52">
        <f>4+8+8+7+5</f>
        <v>32</v>
      </c>
      <c r="L26" s="52">
        <f>SUM(J26:K26)</f>
        <v>106</v>
      </c>
      <c r="M26" s="53">
        <f t="shared" ref="M26:M31" si="4">IF(C26&lt;&gt;0,L26/(C26/100),0)</f>
        <v>76.258992805755398</v>
      </c>
      <c r="N26" s="51">
        <f>L26-G26</f>
        <v>32</v>
      </c>
      <c r="O26" s="59">
        <f t="shared" ref="O26:O31" si="5">IF(C26&lt;&gt;0,N26/(C26/100),0)</f>
        <v>23.021582733812952</v>
      </c>
    </row>
    <row r="27" spans="1:17" ht="17.25" thickTop="1" thickBot="1">
      <c r="B27" s="14" t="s">
        <v>16</v>
      </c>
      <c r="C27" s="51">
        <f>1+7+12+8+4+1+5</f>
        <v>38</v>
      </c>
      <c r="D27" s="54">
        <f>0</f>
        <v>0</v>
      </c>
      <c r="E27" s="55">
        <f>1+6+3+2</f>
        <v>12</v>
      </c>
      <c r="F27" s="55">
        <f>1+2+6+5+4+1+3</f>
        <v>22</v>
      </c>
      <c r="G27" s="55">
        <f>SUM(E27:F27)</f>
        <v>34</v>
      </c>
      <c r="H27" s="56">
        <f t="shared" si="3"/>
        <v>89.473684210526315</v>
      </c>
      <c r="I27" s="54">
        <f>1+2</f>
        <v>3</v>
      </c>
      <c r="J27" s="55">
        <f>1+2+1</f>
        <v>4</v>
      </c>
      <c r="K27" s="55">
        <f>1+2+12+6+3+1+5</f>
        <v>30</v>
      </c>
      <c r="L27" s="55">
        <f>SUM(J27:K27)</f>
        <v>34</v>
      </c>
      <c r="M27" s="56">
        <f t="shared" si="4"/>
        <v>89.473684210526315</v>
      </c>
      <c r="N27" s="54">
        <f>L27-G27</f>
        <v>0</v>
      </c>
      <c r="O27" s="60">
        <f t="shared" si="5"/>
        <v>0</v>
      </c>
    </row>
    <row r="28" spans="1:17" ht="17.25" thickTop="1" thickBot="1">
      <c r="B28" s="14" t="s">
        <v>17</v>
      </c>
      <c r="C28" s="51">
        <f>1+1+1</f>
        <v>3</v>
      </c>
      <c r="D28" s="54">
        <f>1</f>
        <v>1</v>
      </c>
      <c r="E28" s="55">
        <f>0</f>
        <v>0</v>
      </c>
      <c r="F28" s="55">
        <f>1+1</f>
        <v>2</v>
      </c>
      <c r="G28" s="55">
        <f>SUM(E28:F28)</f>
        <v>2</v>
      </c>
      <c r="H28" s="56">
        <f t="shared" si="3"/>
        <v>66.666666666666671</v>
      </c>
      <c r="I28" s="54">
        <f>1</f>
        <v>1</v>
      </c>
      <c r="J28" s="55">
        <f>0</f>
        <v>0</v>
      </c>
      <c r="K28" s="55">
        <v>2</v>
      </c>
      <c r="L28" s="55">
        <f>SUM(J28:K28)</f>
        <v>2</v>
      </c>
      <c r="M28" s="56">
        <f t="shared" si="4"/>
        <v>66.666666666666671</v>
      </c>
      <c r="N28" s="54">
        <f>L28-G28</f>
        <v>0</v>
      </c>
      <c r="O28" s="60">
        <f t="shared" si="5"/>
        <v>0</v>
      </c>
    </row>
    <row r="29" spans="1:17" ht="17.25" thickTop="1" thickBot="1">
      <c r="B29" s="14" t="s">
        <v>18</v>
      </c>
      <c r="C29" s="51">
        <f>5</f>
        <v>5</v>
      </c>
      <c r="D29" s="54">
        <v>0</v>
      </c>
      <c r="E29" s="55">
        <v>0</v>
      </c>
      <c r="F29" s="55">
        <v>5</v>
      </c>
      <c r="G29" s="55">
        <f>SUM(E29:F29)</f>
        <v>5</v>
      </c>
      <c r="H29" s="56">
        <f t="shared" si="3"/>
        <v>100</v>
      </c>
      <c r="I29" s="54">
        <v>0</v>
      </c>
      <c r="J29" s="55">
        <v>0</v>
      </c>
      <c r="K29" s="55">
        <v>5</v>
      </c>
      <c r="L29" s="55">
        <f>SUM(J29:K29)</f>
        <v>5</v>
      </c>
      <c r="M29" s="56">
        <f t="shared" si="4"/>
        <v>100</v>
      </c>
      <c r="N29" s="54">
        <f>L29-G29</f>
        <v>0</v>
      </c>
      <c r="O29" s="60">
        <f t="shared" si="5"/>
        <v>0</v>
      </c>
    </row>
    <row r="30" spans="1:17" ht="17.25" thickTop="1" thickBot="1">
      <c r="B30" s="14" t="s">
        <v>19</v>
      </c>
      <c r="C30" s="51">
        <v>0</v>
      </c>
      <c r="D30" s="54">
        <v>0</v>
      </c>
      <c r="E30" s="55">
        <v>0</v>
      </c>
      <c r="F30" s="55">
        <v>0</v>
      </c>
      <c r="G30" s="55">
        <f>SUM(E30:F30)</f>
        <v>0</v>
      </c>
      <c r="H30" s="56">
        <f t="shared" si="3"/>
        <v>0</v>
      </c>
      <c r="I30" s="54">
        <v>0</v>
      </c>
      <c r="J30" s="55">
        <v>0</v>
      </c>
      <c r="K30" s="55">
        <v>0</v>
      </c>
      <c r="L30" s="55">
        <f>SUM(J30:K30)</f>
        <v>0</v>
      </c>
      <c r="M30" s="56">
        <f t="shared" si="4"/>
        <v>0</v>
      </c>
      <c r="N30" s="54">
        <f>L30-G30</f>
        <v>0</v>
      </c>
      <c r="O30" s="60">
        <f t="shared" si="5"/>
        <v>0</v>
      </c>
    </row>
    <row r="31" spans="1:17" ht="17.25" thickTop="1" thickBot="1">
      <c r="B31" s="36" t="s">
        <v>20</v>
      </c>
      <c r="C31" s="61">
        <f>SUM(C26:C30)</f>
        <v>185</v>
      </c>
      <c r="D31" s="61">
        <f>SUM(D26:D30)</f>
        <v>40</v>
      </c>
      <c r="E31" s="62">
        <f>SUM(E26:E30)</f>
        <v>68</v>
      </c>
      <c r="F31" s="62">
        <f>SUM(F26:F30)</f>
        <v>47</v>
      </c>
      <c r="G31" s="62">
        <f>SUM(G26:G30)</f>
        <v>115</v>
      </c>
      <c r="H31" s="63">
        <f t="shared" si="3"/>
        <v>62.162162162162161</v>
      </c>
      <c r="I31" s="61">
        <f>SUM(I26:I30)</f>
        <v>23</v>
      </c>
      <c r="J31" s="62">
        <f>SUM(J26:J30)</f>
        <v>78</v>
      </c>
      <c r="K31" s="62">
        <f>SUM(K26:K30)</f>
        <v>69</v>
      </c>
      <c r="L31" s="62">
        <f>SUM(L26:L30)</f>
        <v>147</v>
      </c>
      <c r="M31" s="63">
        <f t="shared" si="4"/>
        <v>79.459459459459453</v>
      </c>
      <c r="N31" s="61">
        <f>SUM(N26:N30)</f>
        <v>32</v>
      </c>
      <c r="O31" s="64">
        <f t="shared" si="5"/>
        <v>17.297297297297295</v>
      </c>
    </row>
    <row r="32" spans="1:17" ht="15.75" thickTop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5.75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7.25" thickTop="1" thickBot="1">
      <c r="B34" s="48"/>
      <c r="C34" s="48"/>
      <c r="D34" s="11" t="s">
        <v>2</v>
      </c>
      <c r="E34" s="49"/>
      <c r="F34" s="49"/>
      <c r="G34" s="49"/>
      <c r="H34" s="49"/>
      <c r="I34" s="11" t="s">
        <v>3</v>
      </c>
      <c r="J34" s="49"/>
      <c r="K34" s="49"/>
      <c r="L34" s="49"/>
      <c r="M34" s="49"/>
      <c r="N34" s="50"/>
      <c r="O34" s="48"/>
    </row>
    <row r="35" spans="2:15" ht="17.25" thickTop="1" thickBot="1">
      <c r="B35" s="14" t="s">
        <v>4</v>
      </c>
      <c r="C35" s="14" t="s">
        <v>5</v>
      </c>
      <c r="D35" s="15"/>
      <c r="E35" s="16"/>
      <c r="F35" s="16"/>
      <c r="G35" s="11" t="s">
        <v>21</v>
      </c>
      <c r="H35" s="28"/>
      <c r="I35" s="15"/>
      <c r="J35" s="16"/>
      <c r="K35" s="16"/>
      <c r="L35" s="20"/>
      <c r="M35" s="20"/>
      <c r="N35" s="14" t="s">
        <v>21</v>
      </c>
      <c r="O35" s="34" t="s">
        <v>22</v>
      </c>
    </row>
    <row r="36" spans="2:15" ht="17.25" thickTop="1" thickBot="1">
      <c r="B36" s="18"/>
      <c r="C36" s="19" t="s">
        <v>23</v>
      </c>
      <c r="D36" s="11" t="s">
        <v>24</v>
      </c>
      <c r="E36" s="28"/>
      <c r="F36" s="29" t="s">
        <v>25</v>
      </c>
      <c r="G36" s="30" t="s">
        <v>26</v>
      </c>
      <c r="H36" s="10"/>
      <c r="I36" s="11" t="s">
        <v>24</v>
      </c>
      <c r="J36" s="28"/>
      <c r="K36" s="29" t="s">
        <v>25</v>
      </c>
      <c r="L36" s="11" t="s">
        <v>27</v>
      </c>
      <c r="M36" s="28"/>
      <c r="N36" s="19" t="s">
        <v>26</v>
      </c>
      <c r="O36" s="35" t="s">
        <v>26</v>
      </c>
    </row>
    <row r="37" spans="2:15" ht="17.25" thickTop="1" thickBot="1">
      <c r="B37" s="36" t="s">
        <v>28</v>
      </c>
      <c r="C37" s="61">
        <v>320</v>
      </c>
      <c r="D37" s="107">
        <v>89</v>
      </c>
      <c r="E37" s="105"/>
      <c r="F37" s="62">
        <v>230</v>
      </c>
      <c r="G37" s="102">
        <f>IF(C37&lt;&gt;0,F37/(C37/100),0)</f>
        <v>71.875</v>
      </c>
      <c r="H37" s="103"/>
      <c r="I37" s="107">
        <v>55</v>
      </c>
      <c r="J37" s="105"/>
      <c r="K37" s="65">
        <v>122</v>
      </c>
      <c r="L37" s="109">
        <f>64+34+23+10+11</f>
        <v>142</v>
      </c>
      <c r="M37" s="103"/>
      <c r="N37" s="98">
        <f>IF(C37&lt;&gt;0,K37/(C37/100),0)</f>
        <v>38.125</v>
      </c>
      <c r="O37" s="66">
        <f>IF(C37&lt;&gt;0,L37/(C37/100),0)</f>
        <v>44.375</v>
      </c>
    </row>
    <row r="38" spans="2:15" ht="15.75" thickTop="1"/>
    <row r="42" spans="2:15" ht="23.25">
      <c r="B42" s="45" t="s">
        <v>34</v>
      </c>
    </row>
    <row r="43" spans="2:15" ht="15.75" thickBot="1"/>
    <row r="44" spans="2:15" ht="24" thickTop="1">
      <c r="B44" s="37" t="s">
        <v>37</v>
      </c>
      <c r="C44" s="38"/>
      <c r="D44" s="38"/>
      <c r="E44" s="38"/>
      <c r="F44" s="43"/>
      <c r="G44" s="39">
        <f>C12+C31</f>
        <v>1158</v>
      </c>
    </row>
    <row r="45" spans="2:15" ht="24" thickBot="1">
      <c r="B45" s="40" t="s">
        <v>38</v>
      </c>
      <c r="C45" s="41"/>
      <c r="D45" s="41"/>
      <c r="E45" s="41"/>
      <c r="F45" s="44"/>
      <c r="G45" s="42">
        <f>C18+C37</f>
        <v>551</v>
      </c>
    </row>
    <row r="46" spans="2:15" ht="15.75" thickTop="1"/>
  </sheetData>
  <mergeCells count="8">
    <mergeCell ref="D18:E18"/>
    <mergeCell ref="G18:H18"/>
    <mergeCell ref="I18:J18"/>
    <mergeCell ref="L18:M18"/>
    <mergeCell ref="D37:E37"/>
    <mergeCell ref="G37:H37"/>
    <mergeCell ref="I37:J37"/>
    <mergeCell ref="L37:M37"/>
  </mergeCells>
  <phoneticPr fontId="11" type="noConversion"/>
  <printOptions horizontalCentered="1" verticalCentered="1"/>
  <pageMargins left="0.27559055118110237" right="0.27559055118110237" top="0.51181102362204722" bottom="0.51181102362204722" header="0.51181102362204722" footer="0.51181102362204722"/>
  <pageSetup paperSize="9" scale="68" orientation="portrait" r:id="rId1"/>
  <headerFooter alignWithMargins="0">
    <oddHeader>&amp;L&amp;"Times New Roman,Tučné"&amp;24Vyhodnocení plavecké výuky škol. roku 2012/2013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55"/>
  <sheetViews>
    <sheetView tabSelected="1" showOutlineSymbols="0" topLeftCell="A38" zoomScale="87" zoomScaleNormal="87" workbookViewId="0">
      <selection activeCell="A2" sqref="A2:P56"/>
    </sheetView>
  </sheetViews>
  <sheetFormatPr defaultColWidth="9.6640625" defaultRowHeight="15"/>
  <cols>
    <col min="1" max="1" width="2.6640625" customWidth="1"/>
    <col min="2" max="2" width="8.6640625" customWidth="1"/>
    <col min="3" max="6" width="7.6640625" customWidth="1"/>
    <col min="7" max="8" width="8.6640625" customWidth="1"/>
    <col min="9" max="11" width="7.6640625" customWidth="1"/>
    <col min="12" max="13" width="8.6640625" customWidth="1"/>
    <col min="14" max="15" width="9.6640625" customWidth="1"/>
    <col min="16" max="16" width="2.6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6.1" customHeight="1">
      <c r="A2" s="1"/>
      <c r="B2" s="2" t="s">
        <v>30</v>
      </c>
      <c r="C2" s="3"/>
      <c r="D2" s="3"/>
      <c r="E2" s="3"/>
      <c r="F2" s="3"/>
      <c r="G2" s="4"/>
      <c r="H2" s="46" t="s">
        <v>0</v>
      </c>
      <c r="I2" s="47" t="s">
        <v>41</v>
      </c>
      <c r="J2" s="3"/>
      <c r="K2" s="4"/>
      <c r="L2" s="4"/>
      <c r="M2" s="7"/>
      <c r="N2" s="46" t="s">
        <v>1</v>
      </c>
      <c r="O2" s="8" t="str">
        <f>'VYHODNOCENí I.'!$O$2</f>
        <v>2014-15</v>
      </c>
      <c r="P2" s="4"/>
      <c r="Q2" s="1"/>
    </row>
    <row r="3" spans="1:17" ht="20.100000000000001" customHeight="1" thickBot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"/>
      <c r="Q3" s="1"/>
    </row>
    <row r="4" spans="1:17" ht="23.25" customHeight="1" thickTop="1" thickBot="1">
      <c r="A4" s="1"/>
      <c r="B4" s="2" t="s">
        <v>42</v>
      </c>
      <c r="C4" s="48"/>
      <c r="D4" s="11" t="s">
        <v>2</v>
      </c>
      <c r="E4" s="49"/>
      <c r="F4" s="49"/>
      <c r="G4" s="49"/>
      <c r="H4" s="49"/>
      <c r="I4" s="11" t="s">
        <v>3</v>
      </c>
      <c r="J4" s="49"/>
      <c r="K4" s="49"/>
      <c r="L4" s="49"/>
      <c r="M4" s="49"/>
      <c r="N4" s="50"/>
      <c r="O4" s="48"/>
      <c r="P4" s="4"/>
      <c r="Q4" s="1"/>
    </row>
    <row r="5" spans="1:17" ht="18.95" customHeight="1">
      <c r="A5" s="1"/>
      <c r="B5" s="14" t="s">
        <v>4</v>
      </c>
      <c r="C5" s="14" t="s">
        <v>5</v>
      </c>
      <c r="D5" s="15"/>
      <c r="E5" s="16"/>
      <c r="F5" s="16"/>
      <c r="G5" s="14" t="s">
        <v>5</v>
      </c>
      <c r="H5" s="14" t="s">
        <v>6</v>
      </c>
      <c r="I5" s="15"/>
      <c r="J5" s="16"/>
      <c r="K5" s="16"/>
      <c r="L5" s="14" t="s">
        <v>5</v>
      </c>
      <c r="M5" s="14" t="s">
        <v>6</v>
      </c>
      <c r="N5" s="14" t="s">
        <v>7</v>
      </c>
      <c r="O5" s="14" t="s">
        <v>6</v>
      </c>
      <c r="P5" s="17"/>
      <c r="Q5" s="1"/>
    </row>
    <row r="6" spans="1:17" ht="18.95" customHeight="1">
      <c r="A6" s="1"/>
      <c r="B6" s="18"/>
      <c r="C6" s="19" t="s">
        <v>8</v>
      </c>
      <c r="D6" s="14" t="s">
        <v>9</v>
      </c>
      <c r="E6" s="20" t="s">
        <v>10</v>
      </c>
      <c r="F6" s="20" t="s">
        <v>11</v>
      </c>
      <c r="G6" s="19" t="s">
        <v>12</v>
      </c>
      <c r="H6" s="19" t="s">
        <v>13</v>
      </c>
      <c r="I6" s="14" t="s">
        <v>9</v>
      </c>
      <c r="J6" s="20" t="s">
        <v>10</v>
      </c>
      <c r="K6" s="20" t="s">
        <v>11</v>
      </c>
      <c r="L6" s="19" t="s">
        <v>12</v>
      </c>
      <c r="M6" s="19" t="s">
        <v>13</v>
      </c>
      <c r="N6" s="19" t="s">
        <v>14</v>
      </c>
      <c r="O6" s="19" t="s">
        <v>13</v>
      </c>
      <c r="P6" s="17"/>
      <c r="Q6" s="1"/>
    </row>
    <row r="7" spans="1:17" ht="18.95" customHeight="1">
      <c r="A7" s="1"/>
      <c r="B7" s="14" t="s">
        <v>15</v>
      </c>
      <c r="C7" s="51">
        <f>'VYHODNOCENí I.'!C7+'VYHODNOCENí II.'!C7+'VYHODNOCENí III.'!C7+11</f>
        <v>260</v>
      </c>
      <c r="D7" s="51">
        <f>'VYHODNOCENí I.'!D7+'VYHODNOCENí II.'!D7+'VYHODNOCENí III.'!D7</f>
        <v>30</v>
      </c>
      <c r="E7" s="52">
        <f>'VYHODNOCENí I.'!E7+'VYHODNOCENí II.'!E7+'VYHODNOCENí III.'!E7</f>
        <v>14</v>
      </c>
      <c r="F7" s="52">
        <f>'VYHODNOCENí I.'!F7+'VYHODNOCENí II.'!F7+'VYHODNOCENí III.'!F7</f>
        <v>2</v>
      </c>
      <c r="G7" s="52">
        <f>SUM(E7:F7)</f>
        <v>16</v>
      </c>
      <c r="H7" s="53">
        <f t="shared" ref="H7:H12" si="0">IF(C7&lt;&gt;0,G7/(C7/100),0)</f>
        <v>6.1538461538461533</v>
      </c>
      <c r="I7" s="51">
        <f>'VYHODNOCENí I.'!I7+'VYHODNOCENí II.'!I7+'VYHODNOCENí III.'!I7</f>
        <v>56</v>
      </c>
      <c r="J7" s="52">
        <f>'VYHODNOCENí I.'!J7+'VYHODNOCENí II.'!J7+'VYHODNOCENí III.'!J7</f>
        <v>67</v>
      </c>
      <c r="K7" s="52">
        <f>'VYHODNOCENí I.'!K7+'VYHODNOCENí II.'!K7+'VYHODNOCENí III.'!K7</f>
        <v>7</v>
      </c>
      <c r="L7" s="52">
        <f>SUM(J7:K7)</f>
        <v>74</v>
      </c>
      <c r="M7" s="53">
        <f t="shared" ref="M7:M12" si="1">IF(C7&lt;&gt;0,L7/(C7/100),0)</f>
        <v>28.46153846153846</v>
      </c>
      <c r="N7" s="51">
        <f>L7-G7</f>
        <v>58</v>
      </c>
      <c r="O7" s="53">
        <f t="shared" ref="O7:O12" si="2">IF(C7&lt;&gt;0,N7/(C7/100),0)</f>
        <v>22.307692307692307</v>
      </c>
      <c r="P7" s="17"/>
      <c r="Q7" s="1"/>
    </row>
    <row r="8" spans="1:17" ht="18.95" customHeight="1">
      <c r="A8" s="1"/>
      <c r="B8" s="14" t="s">
        <v>16</v>
      </c>
      <c r="C8" s="51">
        <f>'VYHODNOCENí I.'!C8+'VYHODNOCENí II.'!C8+'VYHODNOCENí III.'!C8+7</f>
        <v>974</v>
      </c>
      <c r="D8" s="54">
        <f>'VYHODNOCENí I.'!D8+'VYHODNOCENí II.'!D8+'VYHODNOCENí III.'!D8</f>
        <v>182</v>
      </c>
      <c r="E8" s="55">
        <f>'VYHODNOCENí I.'!E8+'VYHODNOCENí II.'!E8+'VYHODNOCENí III.'!E8</f>
        <v>254</v>
      </c>
      <c r="F8" s="55">
        <f>'VYHODNOCENí I.'!F8+'VYHODNOCENí II.'!F8+'VYHODNOCENí III.'!F8</f>
        <v>53</v>
      </c>
      <c r="G8" s="55">
        <f>SUM(E8:F8)</f>
        <v>307</v>
      </c>
      <c r="H8" s="56">
        <f t="shared" si="0"/>
        <v>31.519507186858316</v>
      </c>
      <c r="I8" s="54">
        <f>'VYHODNOCENí I.'!I8+'VYHODNOCENí II.'!I8+'VYHODNOCENí III.'!I8</f>
        <v>172</v>
      </c>
      <c r="J8" s="55">
        <f>'VYHODNOCENí I.'!J8+'VYHODNOCENí II.'!J8+'VYHODNOCENí III.'!J8</f>
        <v>416</v>
      </c>
      <c r="K8" s="55">
        <f>'VYHODNOCENí I.'!K8+'VYHODNOCENí II.'!K8+'VYHODNOCENí III.'!K8</f>
        <v>166</v>
      </c>
      <c r="L8" s="55">
        <f>SUM(J8:K8)</f>
        <v>582</v>
      </c>
      <c r="M8" s="56">
        <f t="shared" si="1"/>
        <v>59.753593429158109</v>
      </c>
      <c r="N8" s="54">
        <f>L8-G8</f>
        <v>275</v>
      </c>
      <c r="O8" s="56">
        <f t="shared" si="2"/>
        <v>28.234086242299796</v>
      </c>
      <c r="P8" s="17"/>
      <c r="Q8" s="1"/>
    </row>
    <row r="9" spans="1:17" ht="18.95" customHeight="1">
      <c r="A9" s="1"/>
      <c r="B9" s="14" t="s">
        <v>17</v>
      </c>
      <c r="C9" s="51">
        <f>'VYHODNOCENí I.'!C9+'VYHODNOCENí II.'!C9+'VYHODNOCENí III.'!C9+7</f>
        <v>1117</v>
      </c>
      <c r="D9" s="54">
        <f>'VYHODNOCENí I.'!D9+'VYHODNOCENí II.'!D9+'VYHODNOCENí III.'!D9</f>
        <v>174</v>
      </c>
      <c r="E9" s="55">
        <f>'VYHODNOCENí I.'!E9+'VYHODNOCENí II.'!E9+'VYHODNOCENí III.'!E9</f>
        <v>423</v>
      </c>
      <c r="F9" s="55">
        <f>'VYHODNOCENí I.'!F9+'VYHODNOCENí II.'!F9+'VYHODNOCENí III.'!F9</f>
        <v>193</v>
      </c>
      <c r="G9" s="55">
        <f>SUM(E9:F9)</f>
        <v>616</v>
      </c>
      <c r="H9" s="56">
        <f t="shared" si="0"/>
        <v>55.147717099373324</v>
      </c>
      <c r="I9" s="54">
        <f>'VYHODNOCENí I.'!I9+'VYHODNOCENí II.'!I9+'VYHODNOCENí III.'!I9</f>
        <v>150</v>
      </c>
      <c r="J9" s="55">
        <f>'VYHODNOCENí I.'!J9+'VYHODNOCENí II.'!J9+'VYHODNOCENí III.'!J9</f>
        <v>474</v>
      </c>
      <c r="K9" s="55">
        <f>'VYHODNOCENí I.'!K9+'VYHODNOCENí II.'!K9+'VYHODNOCENí III.'!K9</f>
        <v>382</v>
      </c>
      <c r="L9" s="55">
        <f>SUM(J9:K9)</f>
        <v>856</v>
      </c>
      <c r="M9" s="56">
        <f t="shared" si="1"/>
        <v>76.633840644583714</v>
      </c>
      <c r="N9" s="54">
        <f>L9-G9</f>
        <v>240</v>
      </c>
      <c r="O9" s="56">
        <f t="shared" si="2"/>
        <v>21.486123545210386</v>
      </c>
      <c r="P9" s="17"/>
      <c r="Q9" s="1"/>
    </row>
    <row r="10" spans="1:17" ht="18.95" customHeight="1">
      <c r="A10" s="1"/>
      <c r="B10" s="14" t="s">
        <v>18</v>
      </c>
      <c r="C10" s="51">
        <f>'VYHODNOCENí I.'!C10+'VYHODNOCENí II.'!C10+'VYHODNOCENí III.'!C10+7</f>
        <v>589</v>
      </c>
      <c r="D10" s="54">
        <f>'VYHODNOCENí I.'!D10+'VYHODNOCENí II.'!D10+'VYHODNOCENí III.'!D10</f>
        <v>59</v>
      </c>
      <c r="E10" s="55">
        <f>'VYHODNOCENí I.'!E10+'VYHODNOCENí II.'!E10+'VYHODNOCENí III.'!E10</f>
        <v>254</v>
      </c>
      <c r="F10" s="55">
        <f>'VYHODNOCENí I.'!F10+'VYHODNOCENí II.'!F10+'VYHODNOCENí III.'!F10</f>
        <v>181</v>
      </c>
      <c r="G10" s="55">
        <f>SUM(E10:F10)</f>
        <v>435</v>
      </c>
      <c r="H10" s="56">
        <f t="shared" si="0"/>
        <v>73.853989813242791</v>
      </c>
      <c r="I10" s="54">
        <f>'VYHODNOCENí I.'!I10+'VYHODNOCENí II.'!I10+'VYHODNOCENí III.'!I10</f>
        <v>40</v>
      </c>
      <c r="J10" s="55">
        <f>'VYHODNOCENí I.'!J10+'VYHODNOCENí II.'!J10+'VYHODNOCENí III.'!J10</f>
        <v>182</v>
      </c>
      <c r="K10" s="55">
        <f>'VYHODNOCENí I.'!K10+'VYHODNOCENí II.'!K10+'VYHODNOCENí III.'!K10</f>
        <v>330</v>
      </c>
      <c r="L10" s="55">
        <f>SUM(J10:K10)</f>
        <v>512</v>
      </c>
      <c r="M10" s="56">
        <f t="shared" si="1"/>
        <v>86.926994906621402</v>
      </c>
      <c r="N10" s="54">
        <f>L10-G10</f>
        <v>77</v>
      </c>
      <c r="O10" s="56">
        <f t="shared" si="2"/>
        <v>13.073005093378608</v>
      </c>
      <c r="P10" s="17"/>
      <c r="Q10" s="1"/>
    </row>
    <row r="11" spans="1:17" ht="18.95" customHeight="1">
      <c r="A11" s="1"/>
      <c r="B11" s="14" t="s">
        <v>19</v>
      </c>
      <c r="C11" s="51">
        <f>'VYHODNOCENí I.'!C11+'VYHODNOCENí II.'!C11+'VYHODNOCENí III.'!C11+7</f>
        <v>88</v>
      </c>
      <c r="D11" s="54">
        <f>'VYHODNOCENí I.'!D11+'VYHODNOCENí II.'!D11+'VYHODNOCENí III.'!D11</f>
        <v>1</v>
      </c>
      <c r="E11" s="55">
        <f>'VYHODNOCENí I.'!E11+'VYHODNOCENí II.'!E11+'VYHODNOCENí III.'!E11</f>
        <v>40</v>
      </c>
      <c r="F11" s="55">
        <f>'VYHODNOCENí I.'!F11+'VYHODNOCENí II.'!F11+'VYHODNOCENí III.'!F11</f>
        <v>37</v>
      </c>
      <c r="G11" s="55">
        <f>SUM(E11:F11)</f>
        <v>77</v>
      </c>
      <c r="H11" s="56">
        <f t="shared" si="0"/>
        <v>87.5</v>
      </c>
      <c r="I11" s="54">
        <f>'VYHODNOCENí I.'!I11+'VYHODNOCENí II.'!I11+'VYHODNOCENí III.'!I11</f>
        <v>0</v>
      </c>
      <c r="J11" s="55">
        <f>'VYHODNOCENí I.'!J11+'VYHODNOCENí II.'!J11+'VYHODNOCENí III.'!J11</f>
        <v>20</v>
      </c>
      <c r="K11" s="55">
        <f>'VYHODNOCENí I.'!K11+'VYHODNOCENí II.'!K11+'VYHODNOCENí III.'!K11</f>
        <v>61</v>
      </c>
      <c r="L11" s="55">
        <f>SUM(J11:K11)</f>
        <v>81</v>
      </c>
      <c r="M11" s="56">
        <f t="shared" si="1"/>
        <v>92.045454545454547</v>
      </c>
      <c r="N11" s="54">
        <f>L11-G11</f>
        <v>4</v>
      </c>
      <c r="O11" s="56">
        <f t="shared" si="2"/>
        <v>4.5454545454545459</v>
      </c>
      <c r="P11" s="17"/>
      <c r="Q11" s="1"/>
    </row>
    <row r="12" spans="1:17" ht="18.95" customHeight="1">
      <c r="A12" s="1"/>
      <c r="B12" s="14" t="s">
        <v>20</v>
      </c>
      <c r="C12" s="51">
        <f>SUM(C7:C11)</f>
        <v>3028</v>
      </c>
      <c r="D12" s="51">
        <f>SUM(D7:D11)</f>
        <v>446</v>
      </c>
      <c r="E12" s="52">
        <f>SUM(E7:E11)</f>
        <v>985</v>
      </c>
      <c r="F12" s="52">
        <f>SUM(F7:F11)</f>
        <v>466</v>
      </c>
      <c r="G12" s="52">
        <f>SUM(G7:G11)</f>
        <v>1451</v>
      </c>
      <c r="H12" s="53">
        <f t="shared" si="0"/>
        <v>47.919418758256271</v>
      </c>
      <c r="I12" s="51">
        <f>SUM(I7:I11)</f>
        <v>418</v>
      </c>
      <c r="J12" s="52">
        <f>SUM(J7:J11)</f>
        <v>1159</v>
      </c>
      <c r="K12" s="52">
        <f>SUM(K7:K11)</f>
        <v>946</v>
      </c>
      <c r="L12" s="52">
        <f>SUM(L7:L11)</f>
        <v>2105</v>
      </c>
      <c r="M12" s="53">
        <f t="shared" si="1"/>
        <v>69.517833553500651</v>
      </c>
      <c r="N12" s="51">
        <f>SUM(N7:N11)</f>
        <v>654</v>
      </c>
      <c r="O12" s="53">
        <f t="shared" si="2"/>
        <v>21.598414795244384</v>
      </c>
      <c r="P12" s="17"/>
      <c r="Q12" s="1"/>
    </row>
    <row r="13" spans="1:17" ht="18.9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  <c r="Q13" s="1"/>
    </row>
    <row r="14" spans="1:17" ht="18.9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</row>
    <row r="15" spans="1:17" ht="23.25" customHeight="1">
      <c r="A15" s="1"/>
      <c r="B15" s="2" t="s">
        <v>28</v>
      </c>
      <c r="C15" s="48"/>
      <c r="D15" s="11" t="s">
        <v>2</v>
      </c>
      <c r="E15" s="49"/>
      <c r="F15" s="49"/>
      <c r="G15" s="49"/>
      <c r="H15" s="49"/>
      <c r="I15" s="11" t="s">
        <v>3</v>
      </c>
      <c r="J15" s="49"/>
      <c r="K15" s="49"/>
      <c r="L15" s="49"/>
      <c r="M15" s="49"/>
      <c r="N15" s="50"/>
      <c r="O15" s="48"/>
      <c r="P15" s="4"/>
      <c r="Q15" s="1"/>
    </row>
    <row r="16" spans="1:17" ht="18.95" customHeight="1">
      <c r="A16" s="1"/>
      <c r="B16" s="14" t="s">
        <v>4</v>
      </c>
      <c r="C16" s="14" t="s">
        <v>5</v>
      </c>
      <c r="D16" s="15"/>
      <c r="E16" s="16"/>
      <c r="F16" s="16"/>
      <c r="G16" s="11" t="s">
        <v>21</v>
      </c>
      <c r="H16" s="28"/>
      <c r="I16" s="15"/>
      <c r="J16" s="16"/>
      <c r="K16" s="16"/>
      <c r="L16" s="20"/>
      <c r="M16" s="20"/>
      <c r="N16" s="14" t="s">
        <v>21</v>
      </c>
      <c r="O16" s="14" t="s">
        <v>22</v>
      </c>
      <c r="P16" s="17"/>
      <c r="Q16" s="1"/>
    </row>
    <row r="17" spans="1:17" ht="18.95" customHeight="1" thickTop="1" thickBot="1">
      <c r="A17" s="1"/>
      <c r="B17" s="18"/>
      <c r="C17" s="19" t="s">
        <v>23</v>
      </c>
      <c r="D17" s="11" t="s">
        <v>24</v>
      </c>
      <c r="E17" s="28"/>
      <c r="F17" s="29" t="s">
        <v>25</v>
      </c>
      <c r="G17" s="30" t="s">
        <v>26</v>
      </c>
      <c r="H17" s="10"/>
      <c r="I17" s="11" t="s">
        <v>24</v>
      </c>
      <c r="J17" s="28"/>
      <c r="K17" s="29" t="s">
        <v>25</v>
      </c>
      <c r="L17" s="11" t="s">
        <v>27</v>
      </c>
      <c r="M17" s="28"/>
      <c r="N17" s="19" t="s">
        <v>26</v>
      </c>
      <c r="O17" s="19" t="s">
        <v>26</v>
      </c>
      <c r="P17" s="17"/>
      <c r="Q17" s="1"/>
    </row>
    <row r="18" spans="1:17" ht="18.95" customHeight="1" thickTop="1" thickBot="1">
      <c r="A18" s="1"/>
      <c r="B18" s="14" t="s">
        <v>28</v>
      </c>
      <c r="C18" s="51">
        <f>'VYHODNOCENí I.'!C18+'VYHODNOCENí II.'!C18+'VYHODNOCENí III.'!C18</f>
        <v>652</v>
      </c>
      <c r="D18" s="31">
        <f>'VYHODNOCENí I.'!D18:E18+'VYHODNOCENí II.'!D18:E18+'VYHODNOCENí III.'!D18:E18</f>
        <v>391</v>
      </c>
      <c r="E18" s="49"/>
      <c r="F18" s="52">
        <f>'VYHODNOCENí I.'!F18+'VYHODNOCENí II.'!F18+'VYHODNOCENí III.'!F18</f>
        <v>261</v>
      </c>
      <c r="G18" s="102">
        <f>IF(C18&lt;&gt;0,F18/(C18/100),0)</f>
        <v>40.030674846625772</v>
      </c>
      <c r="H18" s="103"/>
      <c r="I18" s="107">
        <f>'VYHODNOCENí I.'!I18:J18+'VYHODNOCENí II.'!I18:J18+'VYHODNOCENí III.'!I18:J18</f>
        <v>230</v>
      </c>
      <c r="J18" s="105"/>
      <c r="K18" s="57">
        <f>'VYHODNOCENí I.'!K18+'VYHODNOCENí II.'!K18+'VYHODNOCENí III.'!K18</f>
        <v>345</v>
      </c>
      <c r="L18" s="108">
        <f>'VYHODNOCENí I.'!L18+'VYHODNOCENí II.'!L18+'VYHODNOCENí III.'!L18</f>
        <v>77</v>
      </c>
      <c r="M18" s="103"/>
      <c r="N18" s="97">
        <f>IF(C18&lt;&gt;0,K18/(C18/100),0)</f>
        <v>52.914110429447859</v>
      </c>
      <c r="O18" s="58">
        <f>IF(C18&lt;&gt;0,L18/(C18/100),0)</f>
        <v>11.809815950920246</v>
      </c>
      <c r="P18" s="17"/>
      <c r="Q18" s="1"/>
    </row>
    <row r="19" spans="1:17" ht="15.75" thickTop="1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  <c r="Q20" s="1"/>
    </row>
    <row r="21" spans="1:17" ht="21.75">
      <c r="A21" s="1"/>
      <c r="B21" s="2" t="s">
        <v>31</v>
      </c>
      <c r="C21" s="3"/>
      <c r="D21" s="3"/>
      <c r="E21" s="3"/>
      <c r="F21" s="3"/>
      <c r="G21" s="4"/>
      <c r="H21" s="46" t="s">
        <v>0</v>
      </c>
      <c r="I21" s="47" t="str">
        <f>$I$2</f>
        <v>I. - III.</v>
      </c>
      <c r="J21" s="3"/>
      <c r="K21" s="4"/>
      <c r="L21" s="4"/>
      <c r="M21" s="7"/>
      <c r="N21" s="46" t="s">
        <v>1</v>
      </c>
      <c r="O21" s="8" t="str">
        <f>'VYHODNOCENí II.'!$O$2</f>
        <v>2014-15</v>
      </c>
      <c r="P21" s="4"/>
      <c r="Q21" s="1"/>
    </row>
    <row r="22" spans="1:17" ht="15.75" thickBot="1">
      <c r="A22" s="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"/>
      <c r="Q22" s="1"/>
    </row>
    <row r="23" spans="1:17" ht="23.25" thickTop="1" thickBot="1">
      <c r="A23" s="1"/>
      <c r="B23" s="2" t="s">
        <v>42</v>
      </c>
      <c r="C23" s="48"/>
      <c r="D23" s="11" t="s">
        <v>2</v>
      </c>
      <c r="E23" s="49"/>
      <c r="F23" s="49"/>
      <c r="G23" s="49"/>
      <c r="H23" s="49"/>
      <c r="I23" s="11" t="s">
        <v>3</v>
      </c>
      <c r="J23" s="49"/>
      <c r="K23" s="49"/>
      <c r="L23" s="49"/>
      <c r="M23" s="49"/>
      <c r="N23" s="50"/>
      <c r="O23" s="48"/>
      <c r="P23" s="4"/>
      <c r="Q23" s="1"/>
    </row>
    <row r="24" spans="1:17" ht="17.25" thickTop="1" thickBot="1">
      <c r="A24" s="1"/>
      <c r="B24" s="14" t="s">
        <v>4</v>
      </c>
      <c r="C24" s="14" t="s">
        <v>5</v>
      </c>
      <c r="D24" s="15"/>
      <c r="E24" s="16"/>
      <c r="F24" s="16"/>
      <c r="G24" s="14" t="s">
        <v>5</v>
      </c>
      <c r="H24" s="14" t="s">
        <v>6</v>
      </c>
      <c r="I24" s="15"/>
      <c r="J24" s="16"/>
      <c r="K24" s="16"/>
      <c r="L24" s="14" t="s">
        <v>5</v>
      </c>
      <c r="M24" s="14" t="s">
        <v>6</v>
      </c>
      <c r="N24" s="14" t="s">
        <v>7</v>
      </c>
      <c r="O24" s="34" t="s">
        <v>6</v>
      </c>
      <c r="P24" s="1"/>
    </row>
    <row r="25" spans="1:17" ht="17.25" thickTop="1" thickBot="1">
      <c r="B25" s="18"/>
      <c r="C25" s="19" t="s">
        <v>8</v>
      </c>
      <c r="D25" s="14" t="s">
        <v>9</v>
      </c>
      <c r="E25" s="20" t="s">
        <v>10</v>
      </c>
      <c r="F25" s="20" t="s">
        <v>11</v>
      </c>
      <c r="G25" s="19" t="s">
        <v>12</v>
      </c>
      <c r="H25" s="19" t="s">
        <v>13</v>
      </c>
      <c r="I25" s="14" t="s">
        <v>9</v>
      </c>
      <c r="J25" s="20" t="s">
        <v>10</v>
      </c>
      <c r="K25" s="20" t="s">
        <v>11</v>
      </c>
      <c r="L25" s="19" t="s">
        <v>12</v>
      </c>
      <c r="M25" s="19" t="s">
        <v>13</v>
      </c>
      <c r="N25" s="19" t="s">
        <v>14</v>
      </c>
      <c r="O25" s="35" t="s">
        <v>13</v>
      </c>
    </row>
    <row r="26" spans="1:17" ht="17.25" thickTop="1" thickBot="1">
      <c r="B26" s="14" t="s">
        <v>15</v>
      </c>
      <c r="C26" s="51">
        <f>'VYHODNOCENí I.'!C26+'VYHODNOCENí II.'!C26+'VYHODNOCENí III.'!C26+10</f>
        <v>512</v>
      </c>
      <c r="D26" s="51">
        <f>'VYHODNOCENí I.'!D26+'VYHODNOCENí II.'!D26+'VYHODNOCENí III.'!D26</f>
        <v>117</v>
      </c>
      <c r="E26" s="52">
        <f>'VYHODNOCENí I.'!E26+'VYHODNOCENí II.'!E26+'VYHODNOCENí III.'!E26</f>
        <v>117</v>
      </c>
      <c r="F26" s="52">
        <f>'VYHODNOCENí I.'!F26+'VYHODNOCENí II.'!F26+'VYHODNOCENí III.'!F26</f>
        <v>34</v>
      </c>
      <c r="G26" s="52">
        <f>SUM(E26:F26)</f>
        <v>151</v>
      </c>
      <c r="H26" s="53">
        <f t="shared" ref="H26:H31" si="3">IF(C26&lt;&gt;0,G26/(C26/100),0)</f>
        <v>29.4921875</v>
      </c>
      <c r="I26" s="51">
        <f>'VYHODNOCENí I.'!I26+'VYHODNOCENí II.'!I26+'VYHODNOCENí III.'!I26</f>
        <v>120</v>
      </c>
      <c r="J26" s="52">
        <f>'VYHODNOCENí I.'!J26+'VYHODNOCENí II.'!J26+'VYHODNOCENí III.'!J26</f>
        <v>180</v>
      </c>
      <c r="K26" s="52">
        <f>'VYHODNOCENí I.'!K26+'VYHODNOCENí II.'!K26+'VYHODNOCENí III.'!K26</f>
        <v>81</v>
      </c>
      <c r="L26" s="52">
        <f>SUM(J26:K26)</f>
        <v>261</v>
      </c>
      <c r="M26" s="53">
        <f t="shared" ref="M26:M31" si="4">IF(C26&lt;&gt;0,L26/(C26/100),0)</f>
        <v>50.9765625</v>
      </c>
      <c r="N26" s="51">
        <f>L26-G26</f>
        <v>110</v>
      </c>
      <c r="O26" s="59">
        <f t="shared" ref="O26:O31" si="5">IF(C26&lt;&gt;0,N26/(C26/100),0)</f>
        <v>21.484375</v>
      </c>
    </row>
    <row r="27" spans="1:17" ht="17.25" thickTop="1" thickBot="1">
      <c r="B27" s="14" t="s">
        <v>16</v>
      </c>
      <c r="C27" s="51">
        <f>'VYHODNOCENí I.'!C27+'VYHODNOCENí II.'!C27+'VYHODNOCENí III.'!C27+5</f>
        <v>150</v>
      </c>
      <c r="D27" s="54">
        <f>'VYHODNOCENí I.'!D27+'VYHODNOCENí II.'!D27+'VYHODNOCENí III.'!D27</f>
        <v>19</v>
      </c>
      <c r="E27" s="55">
        <f>'VYHODNOCENí I.'!E27+'VYHODNOCENí II.'!E27+'VYHODNOCENí III.'!E27</f>
        <v>42</v>
      </c>
      <c r="F27" s="55">
        <f>'VYHODNOCENí I.'!F27+'VYHODNOCENí II.'!F27+'VYHODNOCENí III.'!F27</f>
        <v>62</v>
      </c>
      <c r="G27" s="55">
        <f>SUM(E27:F27)</f>
        <v>104</v>
      </c>
      <c r="H27" s="56">
        <f t="shared" si="3"/>
        <v>69.333333333333329</v>
      </c>
      <c r="I27" s="54">
        <f>'VYHODNOCENí I.'!I27+'VYHODNOCENí II.'!I27+'VYHODNOCENí III.'!I27</f>
        <v>11</v>
      </c>
      <c r="J27" s="55">
        <f>'VYHODNOCENí I.'!J27+'VYHODNOCENí II.'!J27+'VYHODNOCENí III.'!J27</f>
        <v>29</v>
      </c>
      <c r="K27" s="55">
        <f>'VYHODNOCENí I.'!K27+'VYHODNOCENí II.'!K27+'VYHODNOCENí III.'!K27</f>
        <v>91</v>
      </c>
      <c r="L27" s="55">
        <f>SUM(J27:K27)</f>
        <v>120</v>
      </c>
      <c r="M27" s="56">
        <f t="shared" si="4"/>
        <v>80</v>
      </c>
      <c r="N27" s="54">
        <f>L27-G27</f>
        <v>16</v>
      </c>
      <c r="O27" s="60">
        <f t="shared" si="5"/>
        <v>10.666666666666666</v>
      </c>
    </row>
    <row r="28" spans="1:17" ht="17.25" thickTop="1" thickBot="1">
      <c r="B28" s="14" t="s">
        <v>17</v>
      </c>
      <c r="C28" s="51">
        <f>'VYHODNOCENí I.'!C28+'VYHODNOCENí II.'!C28+'VYHODNOCENí III.'!C28+5</f>
        <v>17</v>
      </c>
      <c r="D28" s="54">
        <f>'VYHODNOCENí I.'!D28+'VYHODNOCENí II.'!D28+'VYHODNOCENí III.'!D28</f>
        <v>2</v>
      </c>
      <c r="E28" s="55">
        <f>'VYHODNOCENí I.'!E28+'VYHODNOCENí II.'!E28+'VYHODNOCENí III.'!E28</f>
        <v>2</v>
      </c>
      <c r="F28" s="55">
        <f>'VYHODNOCENí I.'!F28+'VYHODNOCENí II.'!F28+'VYHODNOCENí III.'!F28</f>
        <v>9</v>
      </c>
      <c r="G28" s="55">
        <f>SUM(E28:F28)</f>
        <v>11</v>
      </c>
      <c r="H28" s="56">
        <f t="shared" si="3"/>
        <v>64.705882352941174</v>
      </c>
      <c r="I28" s="54">
        <f>'VYHODNOCENí I.'!I28+'VYHODNOCENí II.'!I28+'VYHODNOCENí III.'!I28</f>
        <v>1</v>
      </c>
      <c r="J28" s="55">
        <f>'VYHODNOCENí I.'!J28+'VYHODNOCENí II.'!J28+'VYHODNOCENí III.'!J28</f>
        <v>1</v>
      </c>
      <c r="K28" s="55">
        <f>'VYHODNOCENí I.'!K28+'VYHODNOCENí II.'!K28+'VYHODNOCENí III.'!K28</f>
        <v>10</v>
      </c>
      <c r="L28" s="55">
        <f>SUM(J28:K28)</f>
        <v>11</v>
      </c>
      <c r="M28" s="56">
        <f t="shared" si="4"/>
        <v>64.705882352941174</v>
      </c>
      <c r="N28" s="54">
        <f>L28-G28</f>
        <v>0</v>
      </c>
      <c r="O28" s="60">
        <f t="shared" si="5"/>
        <v>0</v>
      </c>
    </row>
    <row r="29" spans="1:17" ht="17.25" thickTop="1" thickBot="1">
      <c r="B29" s="14" t="s">
        <v>18</v>
      </c>
      <c r="C29" s="51">
        <f>'VYHODNOCENí I.'!C29+'VYHODNOCENí II.'!C29+'VYHODNOCENí III.'!C29+3</f>
        <v>18</v>
      </c>
      <c r="D29" s="54">
        <f>'VYHODNOCENí I.'!D29+'VYHODNOCENí II.'!D29+'VYHODNOCENí III.'!D29</f>
        <v>0</v>
      </c>
      <c r="E29" s="55">
        <f>'VYHODNOCENí I.'!E29+'VYHODNOCENí II.'!E29+'VYHODNOCENí III.'!E29</f>
        <v>0</v>
      </c>
      <c r="F29" s="55">
        <f>'VYHODNOCENí I.'!F29+'VYHODNOCENí II.'!F29+'VYHODNOCENí III.'!F29</f>
        <v>15</v>
      </c>
      <c r="G29" s="55">
        <f>SUM(E29:F29)</f>
        <v>15</v>
      </c>
      <c r="H29" s="56">
        <f t="shared" si="3"/>
        <v>83.333333333333343</v>
      </c>
      <c r="I29" s="54">
        <f>'VYHODNOCENí I.'!I29+'VYHODNOCENí II.'!I29+'VYHODNOCENí III.'!I29</f>
        <v>0</v>
      </c>
      <c r="J29" s="55">
        <f>'VYHODNOCENí I.'!J29+'VYHODNOCENí II.'!J29+'VYHODNOCENí III.'!J29</f>
        <v>0</v>
      </c>
      <c r="K29" s="55">
        <f>'VYHODNOCENí I.'!K29+'VYHODNOCENí II.'!K29+'VYHODNOCENí III.'!K29</f>
        <v>15</v>
      </c>
      <c r="L29" s="55">
        <f>SUM(J29:K29)</f>
        <v>15</v>
      </c>
      <c r="M29" s="56">
        <f t="shared" si="4"/>
        <v>83.333333333333343</v>
      </c>
      <c r="N29" s="54">
        <f>L29-G29</f>
        <v>0</v>
      </c>
      <c r="O29" s="60">
        <f t="shared" si="5"/>
        <v>0</v>
      </c>
    </row>
    <row r="30" spans="1:17" ht="17.25" thickTop="1" thickBot="1">
      <c r="B30" s="14" t="s">
        <v>19</v>
      </c>
      <c r="C30" s="51">
        <f>'VYHODNOCENí I.'!C30+'VYHODNOCENí II.'!C30+'VYHODNOCENí III.'!C30</f>
        <v>0</v>
      </c>
      <c r="D30" s="54">
        <f>'VYHODNOCENí I.'!D30+'VYHODNOCENí II.'!D30+'VYHODNOCENí III.'!D30</f>
        <v>0</v>
      </c>
      <c r="E30" s="55">
        <f>'VYHODNOCENí I.'!E30+'VYHODNOCENí II.'!E30+'VYHODNOCENí III.'!E30</f>
        <v>0</v>
      </c>
      <c r="F30" s="55">
        <f>'VYHODNOCENí I.'!F30+'VYHODNOCENí II.'!F30+'VYHODNOCENí III.'!F30</f>
        <v>0</v>
      </c>
      <c r="G30" s="55">
        <f>SUM(E30:F30)</f>
        <v>0</v>
      </c>
      <c r="H30" s="56">
        <f t="shared" si="3"/>
        <v>0</v>
      </c>
      <c r="I30" s="54">
        <f>'VYHODNOCENí I.'!I30+'VYHODNOCENí II.'!I30+'VYHODNOCENí III.'!I30</f>
        <v>0</v>
      </c>
      <c r="J30" s="55">
        <f>'VYHODNOCENí I.'!J30+'VYHODNOCENí II.'!J30+'VYHODNOCENí III.'!J30</f>
        <v>0</v>
      </c>
      <c r="K30" s="55">
        <f>'VYHODNOCENí I.'!K30+'VYHODNOCENí II.'!K30+'VYHODNOCENí III.'!K30</f>
        <v>0</v>
      </c>
      <c r="L30" s="55">
        <f>SUM(J30:K30)</f>
        <v>0</v>
      </c>
      <c r="M30" s="56">
        <f t="shared" si="4"/>
        <v>0</v>
      </c>
      <c r="N30" s="54">
        <f>L30-G30</f>
        <v>0</v>
      </c>
      <c r="O30" s="60">
        <f t="shared" si="5"/>
        <v>0</v>
      </c>
    </row>
    <row r="31" spans="1:17" ht="17.25" thickTop="1" thickBot="1">
      <c r="B31" s="36" t="s">
        <v>20</v>
      </c>
      <c r="C31" s="61">
        <f>SUM(C26:C30)</f>
        <v>697</v>
      </c>
      <c r="D31" s="61">
        <f>SUM(D26:D30)</f>
        <v>138</v>
      </c>
      <c r="E31" s="62">
        <f>SUM(E26:E30)</f>
        <v>161</v>
      </c>
      <c r="F31" s="62">
        <f>SUM(F26:F30)</f>
        <v>120</v>
      </c>
      <c r="G31" s="62">
        <f>SUM(G26:G30)</f>
        <v>281</v>
      </c>
      <c r="H31" s="63">
        <f t="shared" si="3"/>
        <v>40.315638450502156</v>
      </c>
      <c r="I31" s="61">
        <f>SUM(I26:I30)</f>
        <v>132</v>
      </c>
      <c r="J31" s="62">
        <f>SUM(J26:J30)</f>
        <v>210</v>
      </c>
      <c r="K31" s="62">
        <f>SUM(K26:K30)</f>
        <v>197</v>
      </c>
      <c r="L31" s="62">
        <f>SUM(L26:L30)</f>
        <v>407</v>
      </c>
      <c r="M31" s="63">
        <f t="shared" si="4"/>
        <v>58.39311334289814</v>
      </c>
      <c r="N31" s="61">
        <f>SUM(N26:N30)</f>
        <v>126</v>
      </c>
      <c r="O31" s="64">
        <f t="shared" si="5"/>
        <v>18.077474892395983</v>
      </c>
    </row>
    <row r="32" spans="1:17" ht="15.75" thickTop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5.75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23.25" thickTop="1" thickBot="1">
      <c r="B34" s="2" t="s">
        <v>28</v>
      </c>
      <c r="C34" s="48"/>
      <c r="D34" s="11" t="s">
        <v>2</v>
      </c>
      <c r="E34" s="49"/>
      <c r="F34" s="49"/>
      <c r="G34" s="49"/>
      <c r="H34" s="49"/>
      <c r="I34" s="11" t="s">
        <v>3</v>
      </c>
      <c r="J34" s="49"/>
      <c r="K34" s="49"/>
      <c r="L34" s="49"/>
      <c r="M34" s="49"/>
      <c r="N34" s="50"/>
      <c r="O34" s="48"/>
    </row>
    <row r="35" spans="2:15" ht="17.25" thickTop="1" thickBot="1">
      <c r="B35" s="14" t="s">
        <v>4</v>
      </c>
      <c r="C35" s="14" t="s">
        <v>5</v>
      </c>
      <c r="D35" s="15"/>
      <c r="E35" s="16"/>
      <c r="F35" s="16"/>
      <c r="G35" s="11" t="s">
        <v>21</v>
      </c>
      <c r="H35" s="28"/>
      <c r="I35" s="15"/>
      <c r="J35" s="16"/>
      <c r="K35" s="16"/>
      <c r="L35" s="20"/>
      <c r="M35" s="20"/>
      <c r="N35" s="14" t="s">
        <v>21</v>
      </c>
      <c r="O35" s="34" t="s">
        <v>22</v>
      </c>
    </row>
    <row r="36" spans="2:15" ht="17.25" thickTop="1" thickBot="1">
      <c r="B36" s="18"/>
      <c r="C36" s="19" t="s">
        <v>23</v>
      </c>
      <c r="D36" s="11" t="s">
        <v>24</v>
      </c>
      <c r="E36" s="28"/>
      <c r="F36" s="29" t="s">
        <v>25</v>
      </c>
      <c r="G36" s="30" t="s">
        <v>26</v>
      </c>
      <c r="H36" s="10"/>
      <c r="I36" s="11" t="s">
        <v>24</v>
      </c>
      <c r="J36" s="28"/>
      <c r="K36" s="29" t="s">
        <v>25</v>
      </c>
      <c r="L36" s="11" t="s">
        <v>27</v>
      </c>
      <c r="M36" s="28"/>
      <c r="N36" s="19" t="s">
        <v>26</v>
      </c>
      <c r="O36" s="35" t="s">
        <v>26</v>
      </c>
    </row>
    <row r="37" spans="2:15" ht="17.25" thickTop="1" thickBot="1">
      <c r="B37" s="36" t="s">
        <v>28</v>
      </c>
      <c r="C37" s="61">
        <f>'VYHODNOCENí I.'!C37+'VYHODNOCENí II.'!C37+'VYHODNOCENí III.'!C37-11</f>
        <v>1030</v>
      </c>
      <c r="D37" s="107">
        <f>'VYHODNOCENí I.'!D37:E37+'VYHODNOCENí II.'!D37:E37+'VYHODNOCENí III.'!D37:E37-11</f>
        <v>420</v>
      </c>
      <c r="E37" s="105"/>
      <c r="F37" s="62">
        <f>'VYHODNOCENí I.'!F37+'VYHODNOCENí II.'!F37+'VYHODNOCENí III.'!F37</f>
        <v>606</v>
      </c>
      <c r="G37" s="102">
        <f>IF(C37&lt;&gt;0,F37/(C37/100),0)</f>
        <v>58.834951456310677</v>
      </c>
      <c r="H37" s="103"/>
      <c r="I37" s="107">
        <f>'VYHODNOCENí I.'!I37:J37+'VYHODNOCENí II.'!I37:J37+'VYHODNOCENí III.'!I37:J37</f>
        <v>316</v>
      </c>
      <c r="J37" s="105"/>
      <c r="K37" s="65">
        <f>'VYHODNOCENí I.'!K37+'VYHODNOCENí II.'!K37+'VYHODNOCENí III.'!K37</f>
        <v>421</v>
      </c>
      <c r="L37" s="108">
        <f>'VYHODNOCENí I.'!L37:M37+'VYHODNOCENí II.'!L37:M37+'VYHODNOCENí III.'!L37:M37-11</f>
        <v>287</v>
      </c>
      <c r="M37" s="103"/>
      <c r="N37" s="98">
        <f>IF(C37&lt;&gt;0,K37/(C37/100),0)</f>
        <v>40.873786407766985</v>
      </c>
      <c r="O37" s="66">
        <f>IF(C37&lt;&gt;0,L37/(C37/100),0)</f>
        <v>27.864077669902912</v>
      </c>
    </row>
    <row r="38" spans="2:15" ht="15.75" thickTop="1"/>
    <row r="40" spans="2:15" ht="21.75" customHeight="1">
      <c r="B40" s="2" t="s">
        <v>43</v>
      </c>
      <c r="H40" s="2" t="s">
        <v>49</v>
      </c>
    </row>
    <row r="41" spans="2:15" ht="21.75" customHeight="1" thickBot="1">
      <c r="B41" s="2"/>
    </row>
    <row r="42" spans="2:15" ht="17.25" thickTop="1" thickBot="1">
      <c r="B42" s="110" t="s">
        <v>48</v>
      </c>
      <c r="C42" s="111"/>
      <c r="D42" s="76" t="s">
        <v>23</v>
      </c>
      <c r="H42" s="110" t="s">
        <v>50</v>
      </c>
      <c r="I42" s="111"/>
      <c r="J42" s="76" t="s">
        <v>23</v>
      </c>
    </row>
    <row r="43" spans="2:15" ht="17.25" customHeight="1">
      <c r="B43" s="73" t="s">
        <v>44</v>
      </c>
      <c r="C43" s="74"/>
      <c r="D43" s="75">
        <f>50+37+53</f>
        <v>140</v>
      </c>
      <c r="E43" s="4"/>
      <c r="F43" s="4"/>
      <c r="G43" s="4"/>
      <c r="H43" s="73" t="s">
        <v>51</v>
      </c>
      <c r="I43" s="74"/>
      <c r="J43" s="92">
        <v>50</v>
      </c>
    </row>
    <row r="44" spans="2:15" ht="17.25" customHeight="1">
      <c r="B44" s="71" t="s">
        <v>45</v>
      </c>
      <c r="C44" s="69"/>
      <c r="D44" s="72">
        <f>34+17+28</f>
        <v>79</v>
      </c>
      <c r="E44" s="4"/>
      <c r="F44" s="4"/>
      <c r="G44" s="4"/>
      <c r="H44" s="71" t="s">
        <v>56</v>
      </c>
      <c r="I44" s="69"/>
      <c r="J44" s="72">
        <v>249</v>
      </c>
    </row>
    <row r="45" spans="2:15" ht="17.25" customHeight="1">
      <c r="B45" s="71" t="s">
        <v>46</v>
      </c>
      <c r="C45" s="70"/>
      <c r="D45" s="72">
        <f>38+37+37</f>
        <v>112</v>
      </c>
      <c r="E45" s="68"/>
      <c r="F45" s="4"/>
      <c r="G45" s="67"/>
      <c r="H45" s="71" t="s">
        <v>52</v>
      </c>
      <c r="I45" s="70"/>
      <c r="J45" s="72">
        <f>24+21+22+20+22+20+16+17+18+19+13+17+20+22+21+20+14+10+16+16+22+18+21+17+16+16+18+19+14+16+19+17+16+18+17+14+19+14</f>
        <v>679</v>
      </c>
    </row>
    <row r="46" spans="2:15" ht="17.25" customHeight="1">
      <c r="B46" s="71" t="s">
        <v>47</v>
      </c>
      <c r="C46" s="70"/>
      <c r="D46" s="72">
        <f>34+14+18</f>
        <v>66</v>
      </c>
      <c r="E46" s="68"/>
      <c r="F46" s="4"/>
      <c r="G46" s="67"/>
      <c r="H46" s="77" t="s">
        <v>58</v>
      </c>
      <c r="I46" s="78"/>
      <c r="J46" s="79">
        <v>0</v>
      </c>
    </row>
    <row r="47" spans="2:15" ht="17.25" customHeight="1" thickBot="1">
      <c r="B47" s="77" t="s">
        <v>57</v>
      </c>
      <c r="C47" s="78"/>
      <c r="D47" s="79">
        <f>85+139</f>
        <v>224</v>
      </c>
      <c r="H47" s="77" t="s">
        <v>59</v>
      </c>
      <c r="I47" s="78"/>
      <c r="J47" s="79">
        <v>95</v>
      </c>
    </row>
    <row r="48" spans="2:15" ht="16.5" thickBot="1">
      <c r="B48" s="93" t="s">
        <v>61</v>
      </c>
      <c r="C48" s="94"/>
      <c r="D48" s="95">
        <v>64</v>
      </c>
      <c r="H48" s="80" t="s">
        <v>20</v>
      </c>
      <c r="I48" s="81"/>
      <c r="J48" s="91">
        <f>SUM(J42:J47)</f>
        <v>1073</v>
      </c>
    </row>
    <row r="49" spans="2:10" ht="17.25" thickTop="1" thickBot="1">
      <c r="B49" s="80" t="s">
        <v>20</v>
      </c>
      <c r="C49" s="81"/>
      <c r="D49" s="91">
        <f>SUM(D43:D48)</f>
        <v>685</v>
      </c>
      <c r="H49" s="100"/>
      <c r="I49" s="99"/>
      <c r="J49" s="101"/>
    </row>
    <row r="50" spans="2:10" ht="15.75" thickTop="1"/>
    <row r="52" spans="2:10" ht="15.75" thickBot="1"/>
    <row r="53" spans="2:10" ht="22.5" thickTop="1">
      <c r="B53" s="82" t="s">
        <v>53</v>
      </c>
      <c r="C53" s="83"/>
      <c r="D53" s="83"/>
      <c r="E53" s="84"/>
      <c r="F53" s="84"/>
      <c r="G53" s="85">
        <f>C12+C18+C31+C37+D49</f>
        <v>6092</v>
      </c>
      <c r="H53" s="83" t="s">
        <v>23</v>
      </c>
      <c r="I53" s="86"/>
    </row>
    <row r="54" spans="2:10" ht="22.5" thickBot="1">
      <c r="B54" s="87" t="s">
        <v>54</v>
      </c>
      <c r="C54" s="88"/>
      <c r="D54" s="88"/>
      <c r="E54" s="89"/>
      <c r="F54" s="89"/>
      <c r="G54" s="90">
        <f>J48</f>
        <v>1073</v>
      </c>
      <c r="H54" s="88" t="s">
        <v>55</v>
      </c>
      <c r="I54" s="44"/>
    </row>
    <row r="55" spans="2:10" ht="15.75" thickTop="1"/>
  </sheetData>
  <mergeCells count="9">
    <mergeCell ref="B42:C42"/>
    <mergeCell ref="H42:I42"/>
    <mergeCell ref="G18:H18"/>
    <mergeCell ref="I18:J18"/>
    <mergeCell ref="L18:M18"/>
    <mergeCell ref="D37:E37"/>
    <mergeCell ref="G37:H37"/>
    <mergeCell ref="I37:J37"/>
    <mergeCell ref="L37:M37"/>
  </mergeCells>
  <phoneticPr fontId="11" type="noConversion"/>
  <printOptions horizontalCentered="1"/>
  <pageMargins left="7.874015748031496E-2" right="7.874015748031496E-2" top="1.2204724409448819" bottom="0" header="0.39370078740157483" footer="0"/>
  <pageSetup paperSize="9" scale="68" orientation="portrait" r:id="rId1"/>
  <headerFooter alignWithMargins="0">
    <oddHeader>&amp;L&amp;"Arial,Tučné"&amp;24Vyhodnocení plavecké výuky škol. roku 2014/2015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VYHODNOCENí I.</vt:lpstr>
      <vt:lpstr>VYHODNOCENí II.</vt:lpstr>
      <vt:lpstr>VYHODNOCENí III.</vt:lpstr>
      <vt:lpstr>VYHODNOCENí 1415</vt:lpstr>
      <vt:lpstr>'VYHODNOCENí 1415'!Oblast_tisku</vt:lpstr>
      <vt:lpstr>'VYHODNOCENí I.'!Oblast_tisku</vt:lpstr>
      <vt:lpstr>'VYHODNOCENí II.'!Oblast_tisku</vt:lpstr>
      <vt:lpstr>'VYHODNOCENí III.'!Oblast_tisku</vt:lpstr>
    </vt:vector>
  </TitlesOfParts>
  <Company>Plavecká škola Hradec Králové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Pašta</dc:creator>
  <cp:lastModifiedBy>Kejzlarová Soňa</cp:lastModifiedBy>
  <cp:lastPrinted>2016-02-23T07:34:09Z</cp:lastPrinted>
  <dcterms:created xsi:type="dcterms:W3CDTF">2006-03-02T08:32:05Z</dcterms:created>
  <dcterms:modified xsi:type="dcterms:W3CDTF">2016-02-23T07:36:13Z</dcterms:modified>
</cp:coreProperties>
</file>